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720" tabRatio="252" firstSheet="5" activeTab="6"/>
  </bookViews>
  <sheets>
    <sheet name="CM_ HeatLoad" sheetId="1" r:id="rId1"/>
    <sheet name="RDR" sheetId="2" r:id="rId2"/>
    <sheet name="RDR revised" sheetId="3" r:id="rId3"/>
    <sheet name="TDR Power KCS" sheetId="4" r:id="rId4"/>
    <sheet name="TDR Power DKS" sheetId="5" r:id="rId5"/>
    <sheet name="e+ 5 GeV source" sheetId="6" r:id="rId6"/>
    <sheet name="e- 5 GeV source" sheetId="7" r:id="rId7"/>
    <sheet name="summary" sheetId="8" r:id="rId8"/>
  </sheets>
  <definedNames>
    <definedName name="ExchTha">#REF!</definedName>
    <definedName name="_xlnm.Print_Area" localSheetId="0">'CM_ HeatLoad'!$A$5:$V$61</definedName>
  </definedNames>
  <calcPr fullCalcOnLoad="1"/>
</workbook>
</file>

<file path=xl/sharedStrings.xml><?xml version="1.0" encoding="utf-8"?>
<sst xmlns="http://schemas.openxmlformats.org/spreadsheetml/2006/main" count="913" uniqueCount="236">
  <si>
    <t>Static load scaled by the number of cavities, dynamic by Bfac also</t>
  </si>
  <si>
    <t>Coax cable (4)</t>
  </si>
  <si>
    <t>Weighted ideal power</t>
  </si>
  <si>
    <t>Operating power including uncertainty</t>
  </si>
  <si>
    <t>Assume indepent of number of cavities</t>
  </si>
  <si>
    <t>Assume independent of number of cavities</t>
  </si>
  <si>
    <t>Total predicted heat per cryogenic unit</t>
  </si>
  <si>
    <t>(g/s)</t>
  </si>
  <si>
    <t>Total heat load (dynamic plus static) for 9-8-9 RF units, e- source</t>
  </si>
  <si>
    <t>modules in this cryogenic unit (e- source)</t>
  </si>
  <si>
    <t>Assume large T-line equiv to empty CM, so static CM heat</t>
  </si>
  <si>
    <t xml:space="preserve">Transfer line heat load per meter </t>
  </si>
  <si>
    <t>(W)</t>
  </si>
  <si>
    <t>(m)</t>
  </si>
  <si>
    <t xml:space="preserve">Transfer line total length </t>
  </si>
  <si>
    <t>End box heat load total</t>
  </si>
  <si>
    <t>Transfer line heat load total</t>
  </si>
  <si>
    <t>Heat uncertainty factor is margin for underestimating heat loads, 1.3 for static due to boxes and T-lines</t>
  </si>
  <si>
    <t>times 3 boxes for e- source assuming 2 strings, 12 CM each</t>
  </si>
  <si>
    <t>E, [MV/m]</t>
  </si>
  <si>
    <t>Q</t>
  </si>
  <si>
    <t>Rep rate, [Hz]</t>
  </si>
  <si>
    <t>Number of Cavities</t>
  </si>
  <si>
    <t>Fill time [µsec]</t>
  </si>
  <si>
    <t>Tf</t>
  </si>
  <si>
    <t>Beam pulse [µsec]</t>
  </si>
  <si>
    <t>Tb</t>
  </si>
  <si>
    <t>Input coupler</t>
  </si>
  <si>
    <t>Particles per bunch [1e10]</t>
  </si>
  <si>
    <t>Qb</t>
  </si>
  <si>
    <t>Beam Current Factor = Qb*Nb/Tb</t>
  </si>
  <si>
    <t>Heat loads per attached CM_HeatLoad sheet (sheet 1)</t>
  </si>
  <si>
    <t xml:space="preserve">Module length based on Module-8-8-8-21Nov06.xls </t>
  </si>
  <si>
    <t>5K</t>
  </si>
  <si>
    <t>Radiation</t>
  </si>
  <si>
    <t>Static load scaled by number of cavities</t>
  </si>
  <si>
    <t>Diagnostic cable</t>
  </si>
  <si>
    <t>peak vapor velocity (cm/sec)</t>
  </si>
  <si>
    <t>including uncertainty and overcapacity factors</t>
  </si>
  <si>
    <t>2 K mass flow with all factors</t>
  </si>
  <si>
    <t>ILC at 31.5 MV/m, 1.0x10^10, 5 Hz</t>
  </si>
  <si>
    <t xml:space="preserve">Overcapacity factor is margin for off-optimal operation and control </t>
  </si>
  <si>
    <t>Installed 4.5 K equiv per unit length</t>
  </si>
  <si>
    <t>(W/m)</t>
  </si>
  <si>
    <t xml:space="preserve">Percent of total power at each level </t>
  </si>
  <si>
    <t>modules in this cryogenic unit (longest anticipated)</t>
  </si>
  <si>
    <t>Instrumentation taps</t>
  </si>
  <si>
    <t>Scales as Gfac</t>
  </si>
  <si>
    <t>Scales as Pfac</t>
  </si>
  <si>
    <t>Independent of G,Tf</t>
  </si>
  <si>
    <t>Static, dynamic sum</t>
  </si>
  <si>
    <t>2K Sum [W]</t>
  </si>
  <si>
    <t>avg number of cavities per module</t>
  </si>
  <si>
    <t>Total operating power for one cryo unit including uncertainty factor (MW)</t>
  </si>
  <si>
    <t>Total installed power for one cryo unit (MW)</t>
  </si>
  <si>
    <t>Revised for TDP parameters 26 June 2012</t>
  </si>
  <si>
    <t>Supports</t>
  </si>
  <si>
    <t xml:space="preserve">approximate cryogenic unit length (km) </t>
  </si>
  <si>
    <t>Dynamic load scaled by the number of cavities and Gfac</t>
  </si>
  <si>
    <t>Total for one cavity below</t>
  </si>
  <si>
    <t>Total heat load (dynamic plus static) for 9-8-9 RF units, full cryogenic unit</t>
  </si>
  <si>
    <t xml:space="preserve">TESLA TDR: </t>
  </si>
  <si>
    <t>Number of bunches</t>
  </si>
  <si>
    <t>Nb</t>
  </si>
  <si>
    <t>Gfac</t>
  </si>
  <si>
    <t>Stored Energy Factor = G^2*(Tb + 1.1*Tf)</t>
  </si>
  <si>
    <t>Pfac</t>
  </si>
  <si>
    <t>Bfac</t>
  </si>
  <si>
    <t>Cfac</t>
  </si>
  <si>
    <t>Industrial est:</t>
  </si>
  <si>
    <t>adjusted eff to match these</t>
  </si>
  <si>
    <t>Static load scaled by number of cavities, dynamic by Pfac also</t>
  </si>
  <si>
    <t>HOM coupler (cables)</t>
  </si>
  <si>
    <t xml:space="preserve">Vapor density (g/cc) </t>
  </si>
  <si>
    <t xml:space="preserve">Total module dynamic heat per cryo unit </t>
  </si>
  <si>
    <t xml:space="preserve">Add 10 W, 10 W, and 50 W load total for other heat </t>
  </si>
  <si>
    <t>per cryo box at 2 K, 5 K and 40 K, respectively</t>
  </si>
  <si>
    <t>times 20 boxes per cryo unit</t>
  </si>
  <si>
    <t>Temperature level</t>
  </si>
  <si>
    <t xml:space="preserve">(module) </t>
  </si>
  <si>
    <t>(module)</t>
  </si>
  <si>
    <t>Temp in</t>
  </si>
  <si>
    <t>(K)</t>
  </si>
  <si>
    <t>Press in</t>
  </si>
  <si>
    <t>(bar)</t>
  </si>
  <si>
    <t xml:space="preserve">Enthalpy in </t>
  </si>
  <si>
    <t>Overcapacity factor (Fo)</t>
  </si>
  <si>
    <t>Note:  cells highlighted in yellow are independent variables, parameters that are entered</t>
  </si>
  <si>
    <t xml:space="preserve">Assumptions: </t>
  </si>
  <si>
    <t>Tom Peterson</t>
  </si>
  <si>
    <t>40 K to 80 K</t>
  </si>
  <si>
    <t>Fu is set to 1.00, however, using 35 MV/m is equivalent to Fu = 1.13</t>
  </si>
  <si>
    <t>kW per module</t>
  </si>
  <si>
    <t>Efficiency (fraction Carnot)</t>
  </si>
  <si>
    <t>Efficiency in Watts/Watt</t>
  </si>
  <si>
    <t>(W/W)</t>
  </si>
  <si>
    <t xml:space="preserve">Installed power </t>
  </si>
  <si>
    <t>Note:  Paolo says post heat at 40 K in TDR was low by factor 3, so 3 X TESLA</t>
  </si>
  <si>
    <t>Total installed 4.5 K equivalent power for one cryo unit (kW)</t>
  </si>
  <si>
    <t>Iteration of this heat load table with input from Chris Adolphsen, 5 Jan 07</t>
  </si>
  <si>
    <t>my conclusion net dyn</t>
  </si>
  <si>
    <t>Substitute the data below</t>
  </si>
  <si>
    <t>for the TESLA TDR numbers</t>
  </si>
  <si>
    <t>Heat load per cryogenic unit including uncertainty</t>
  </si>
  <si>
    <t>Mass flow per cryogenic unit including uncertainty</t>
  </si>
  <si>
    <t>40 K - 80 K</t>
  </si>
  <si>
    <t>5 K - 8 K</t>
  </si>
  <si>
    <t>ILC assumption:</t>
  </si>
  <si>
    <t>Cryoplant coefficient of performance (W/W)</t>
  </si>
  <si>
    <t>TESLA TDR:</t>
  </si>
  <si>
    <t>XFEL:</t>
  </si>
  <si>
    <t xml:space="preserve">Total module static heat per cryo unit </t>
  </si>
  <si>
    <t>Ideal power based on total estimated heat</t>
  </si>
  <si>
    <t>Total predicted mass flow per cryo unit</t>
  </si>
  <si>
    <t>Total operating power for one cryo unit based on predicted heat (MW)</t>
  </si>
  <si>
    <t>Overall multiplier =</t>
  </si>
  <si>
    <t>Heat uncertainty factor on static heat (Fus)</t>
  </si>
  <si>
    <t>Heat uncertainty factor on dynamic heat (Fud)</t>
  </si>
  <si>
    <t>TESLA numbers provide basis for scaling, RDR numbers for reference</t>
  </si>
  <si>
    <t>RDR revised*</t>
  </si>
  <si>
    <t>*</t>
  </si>
  <si>
    <t>number of modules from cryogenics_parameters_KCS.xlsx</t>
  </si>
  <si>
    <t xml:space="preserve">RDR revised includes two updates following the RDR.  One is a correction for the supports heat load at 40 K.  The other an updated set of input coupler heat loads at all temperature levels.  </t>
  </si>
  <si>
    <t>Number of modules per cryo unit (9-8-9-cavity modules)</t>
  </si>
  <si>
    <t>Heat load per cryogenic unit including Fus, Fud, and Fo</t>
  </si>
  <si>
    <t>**</t>
  </si>
  <si>
    <t>Input Power Factor = G*(Tb + 2*Tf)*Cfac</t>
  </si>
  <si>
    <t>G</t>
  </si>
  <si>
    <t>Bunch Factor = Nb*Qb^2</t>
  </si>
  <si>
    <t>Operating power based on predicted heat</t>
  </si>
  <si>
    <t>Temp out</t>
  </si>
  <si>
    <t>Press out</t>
  </si>
  <si>
    <t>saturated vapor</t>
  </si>
  <si>
    <t>Enthalpy out</t>
  </si>
  <si>
    <t>Entropy out</t>
  </si>
  <si>
    <t>(W/module)</t>
  </si>
  <si>
    <t>Number of modules per cryo unit (8-cavity modules)</t>
  </si>
  <si>
    <t xml:space="preserve">This version: </t>
  </si>
  <si>
    <t xml:space="preserve">mm slot length for module without magnets and BPM  </t>
  </si>
  <si>
    <t>Dynamic load scaled by Bfac</t>
  </si>
  <si>
    <t xml:space="preserve">Beam tube bellows </t>
  </si>
  <si>
    <t>Current leads</t>
  </si>
  <si>
    <t>HOM to structure</t>
  </si>
  <si>
    <t>Static and dynamic load scaled by number of cavities, dynamic by Cfac also</t>
  </si>
  <si>
    <t>HOM absorber</t>
  </si>
  <si>
    <t>Coupler data from Linac 2004</t>
  </si>
  <si>
    <t>0 power</t>
  </si>
  <si>
    <t>by W-D Moeller et. al.</t>
  </si>
  <si>
    <t>mm slot length for module with magnets and BPM</t>
  </si>
  <si>
    <t>Non-module heat load per cryo unit</t>
  </si>
  <si>
    <t>4.5 K equiv weighted power</t>
  </si>
  <si>
    <t>Predicted module static heat load</t>
  </si>
  <si>
    <t>Predicted module dynamic heat load</t>
  </si>
  <si>
    <t>Cryomodule</t>
  </si>
  <si>
    <t>TESLA</t>
  </si>
  <si>
    <t xml:space="preserve">Tom Peterson </t>
  </si>
  <si>
    <t xml:space="preserve">This sheet: </t>
  </si>
  <si>
    <t xml:space="preserve">1 standard cryogenic unit </t>
  </si>
  <si>
    <t>ILC 9-8-9 (RDR)</t>
  </si>
  <si>
    <t xml:space="preserve">Heat loads per CM_HeatLoad sheet </t>
  </si>
  <si>
    <t>Includes updates to static and input coupler heat</t>
  </si>
  <si>
    <t>after RDR</t>
  </si>
  <si>
    <t>above post heat updated after RDR</t>
  </si>
  <si>
    <t>Beam current (mA)</t>
  </si>
  <si>
    <t>positron production</t>
  </si>
  <si>
    <t>electron beam</t>
  </si>
  <si>
    <t>positron beam</t>
  </si>
  <si>
    <t>Installed power</t>
  </si>
  <si>
    <t>2 K total heat</t>
  </si>
  <si>
    <t>5 K total heat</t>
  </si>
  <si>
    <t>40 K total heat</t>
  </si>
  <si>
    <t>(MW per cryoplant)</t>
  </si>
  <si>
    <t>installed power</t>
  </si>
  <si>
    <t>for reference</t>
  </si>
  <si>
    <t>power ratio</t>
  </si>
  <si>
    <t xml:space="preserve">new/RDR </t>
  </si>
  <si>
    <t>4 K</t>
  </si>
  <si>
    <t>70 K</t>
  </si>
  <si>
    <t>Operating power includes 1.2 overcapacity factor for control only</t>
  </si>
  <si>
    <t>ILC Cryogenic Power Estimates</t>
  </si>
  <si>
    <t>Installed 4.5 K equiv</t>
  </si>
  <si>
    <t>Static</t>
  </si>
  <si>
    <t>Dynamic</t>
  </si>
  <si>
    <t>Temperature Level</t>
  </si>
  <si>
    <t>2K</t>
  </si>
  <si>
    <t>RF load</t>
  </si>
  <si>
    <t>number of modules from " ILC cryo RF layout labels.xlsx "</t>
  </si>
  <si>
    <t>e+ booster has on average 2 quads per cryomodule, so factor 2 for lead heat, based on " ILC cryo RF layout labels.xlsx "</t>
  </si>
  <si>
    <t>e- booster has on average 2/3 quad per cryomodule, so factor 0.67 for lead heat based on " ILC cryo RF layout labels.xlsx "</t>
  </si>
  <si>
    <t>RDR ML plant</t>
  </si>
  <si>
    <t>Heat loads per CM_HeatLoad sheet</t>
  </si>
  <si>
    <t xml:space="preserve">Current lead heat scaled from LHC Project Report 691 for 3 100 A pair (quad + two correctors), full current heat = 2 x no current.  </t>
  </si>
  <si>
    <t>For ML weigh by a factor of 1/3 since only 1 in 3 modules have quads**</t>
  </si>
  <si>
    <t>ILC 9-8-9 refers to the number of cavities in the modules in a ML unit</t>
  </si>
  <si>
    <t xml:space="preserve">Heat uncertainty factor is margin for underestimating heat loads </t>
  </si>
  <si>
    <t>(J/g)</t>
  </si>
  <si>
    <t>Entropy in</t>
  </si>
  <si>
    <t>(J/gK)</t>
  </si>
  <si>
    <t>5K Sum [W]</t>
  </si>
  <si>
    <t>40K</t>
  </si>
  <si>
    <t>40K Sum [W]</t>
  </si>
  <si>
    <t xml:space="preserve">5 K to 8 K </t>
  </si>
  <si>
    <t>2 K</t>
  </si>
  <si>
    <t>1 standard cryogenic unit of 250 GeV linac.</t>
  </si>
  <si>
    <t>Fraction of largest practical cryoplant per cryogenic unit</t>
  </si>
  <si>
    <t>Overall net cryogenic capacity multiplier</t>
  </si>
  <si>
    <t>(kW)</t>
  </si>
  <si>
    <t xml:space="preserve">Module length based on Module-9-8-9-21Nov06.xls </t>
  </si>
  <si>
    <t>TDR M Linac KCS</t>
  </si>
  <si>
    <t>TDR M Linac DKS</t>
  </si>
  <si>
    <t>1/2 of 10 Hz LP KCS e-</t>
  </si>
  <si>
    <t>10 Hz LP KCS e- (e- source baseline)</t>
  </si>
  <si>
    <t>10 Hz LP KCS e- (e- source baseline) for e- 5 GeV booster plus positron production beam</t>
  </si>
  <si>
    <t xml:space="preserve">5 Hz LP KCS e+ (e+ source baseline) for e+ 5 GeV booster </t>
  </si>
  <si>
    <t>5 Hz LP KCS e+</t>
  </si>
  <si>
    <t>TDR Power KCS</t>
  </si>
  <si>
    <t>e+ 5 GeV source</t>
  </si>
  <si>
    <t>e- 5 GeV source</t>
  </si>
  <si>
    <t xml:space="preserve">(Watts per cryomodule, not including other heat) </t>
  </si>
  <si>
    <t>times 14 boxes per cryo unit</t>
  </si>
  <si>
    <t xml:space="preserve">total number </t>
  </si>
  <si>
    <t>of cryogenic plants</t>
  </si>
  <si>
    <t>of this size</t>
  </si>
  <si>
    <t>times 22 boxes per cryo unit</t>
  </si>
  <si>
    <t>number of modules from cryogenics_parameters_DKS.xlsx</t>
  </si>
  <si>
    <t>total installed</t>
  </si>
  <si>
    <t>plant power</t>
  </si>
  <si>
    <t>(MW)</t>
  </si>
  <si>
    <t>for reference: RDR</t>
  </si>
  <si>
    <t>for reference: RDR revised</t>
  </si>
  <si>
    <t>TDR KCS for ML + RTML</t>
  </si>
  <si>
    <t>TDR DKS for ML + RTML</t>
  </si>
  <si>
    <t>1 standard cryogenic unit for the KCS arrangement into cryo strings and units</t>
  </si>
  <si>
    <t xml:space="preserve">TDR Power DKS </t>
  </si>
  <si>
    <t>1 standard cryogenic unit with DKS arrangement into cryo strings and cryo units</t>
  </si>
  <si>
    <t>Total for 9-8-9 TDR KCS RF unit below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</si>
</sst>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00"/>
    <numFmt numFmtId="168" formatCode="0.0000"/>
    <numFmt numFmtId="169" formatCode="0.E+00"/>
    <numFmt numFmtId="170" formatCode="_(\Q\=* #,##0.00_);_(&quot;$&quot;* \(#,##0.00\);_(&quot;$&quot;* &quot;-&quot;??_);_(@_)"/>
    <numFmt numFmtId="171" formatCode="_(\Q\=\ ##,#00_);_(* \(#,##0.00\);_(* &quot;-&quot;??_);_(@_)"/>
    <numFmt numFmtId="172" formatCode="_(* #,##0.00_);_(* #,##0.00\);_(* &quot;-&quot;??_);_(@_)"/>
    <numFmt numFmtId="173" formatCode="_(* #,##0.00_);_(* #,##0.00_);_(* &quot;-&quot;??_);_(@_)"/>
    <numFmt numFmtId="174" formatCode="_(* #,##0.00_);_(\ #,##0.00_);_(* &quot;-&quot;??_);_(@_)"/>
    <numFmt numFmtId="175" formatCode="_(* #,##0.00_);_(\-\ #,##0.00_);_(* &quot;-&quot;??_);_(@_)"/>
    <numFmt numFmtId="176" formatCode="_(* #,##0.00_);_(\-\ #,##0.00\);_(* &quot;-&quot;??_);_(@_)"/>
    <numFmt numFmtId="177" formatCode="0.00000"/>
    <numFmt numFmtId="178" formatCode="_(&quot;Eacc&quot;\=\ ##,#00_);_(* \(#,##0.00\);_(* &quot;-&quot;??_);_(@_)"/>
    <numFmt numFmtId="179" formatCode="_(&quot;Eacc&quot;\=\ ##,#&quot;M&quot;00_);_(* \(#,##0.00\);_(* &quot;-&quot;??_);_(@_)"/>
    <numFmt numFmtId="180" formatCode="0.0000000"/>
    <numFmt numFmtId="181" formatCode="0;0;\-"/>
    <numFmt numFmtId="182" formatCode="0.0;0.0;\-"/>
    <numFmt numFmtId="183" formatCode="#,##0.0"/>
    <numFmt numFmtId="184" formatCode="0.00;0.00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ddd\,\ mmmm\ dd\,\ yyyy"/>
    <numFmt numFmtId="190" formatCode="[$-409]mmmm\-yy;@"/>
    <numFmt numFmtId="191" formatCode="mmm\-yyyy"/>
    <numFmt numFmtId="192" formatCode="0.00000000"/>
    <numFmt numFmtId="193" formatCode="_(#,##0.00_ &quot;[W]&quot;;"/>
    <numFmt numFmtId="194" formatCode="#,##0.00\ &quot;[g/sec]&quot;"/>
    <numFmt numFmtId="195" formatCode="#,##0.0\ &quot;[g/sec]&quot;"/>
    <numFmt numFmtId="196" formatCode="0.0000000000"/>
    <numFmt numFmtId="197" formatCode="0.00000000000"/>
    <numFmt numFmtId="198" formatCode="0.000000000000"/>
    <numFmt numFmtId="199" formatCode="0.000000000"/>
    <numFmt numFmtId="200" formatCode="#,##0*2"/>
    <numFmt numFmtId="201" formatCode="_(&quot;Rep Rate&quot;\=\ #,##0_,&quot;Hz&quot;\ \);_(* \(#,##0.00\);_(* &quot;-&quot;??_);_(@_)"/>
    <numFmt numFmtId="202" formatCode="_(&quot;Rep Rate&quot;\=\ #,##0_,&quot;Hz&quot;\ ;_(* \(#,##0.00\);_(* &quot;-&quot;??_);_(@_)"/>
    <numFmt numFmtId="203" formatCode="_(&quot;Rep Rate&quot;\=\ #,##0_,&quot;Hz&quot;\ ;_(* \(#,##0.0\);_(* &quot;-&quot;??_);_(@_)"/>
    <numFmt numFmtId="204" formatCode="_(&quot;Rep Rate&quot;\=\ #,##0.0_,&quot;Hz&quot;\ ;_(* \(#,##0.0\);_(* &quot;-&quot;??_);_(@_)"/>
    <numFmt numFmtId="205" formatCode="_(#,##0.0_,&quot;Hz&quot;\ ;_(* \(#,##0.0\);_(* &quot;-&quot;??_);_(@_)"/>
    <numFmt numFmtId="206" formatCode="\-"/>
    <numFmt numFmtId="207" formatCode="#,##0_);\(\-\)"/>
    <numFmt numFmtId="208" formatCode="_(* #,##0.0_);_(* \(#,##0.0\);_(* &quot;-&quot;_);_(@_)"/>
    <numFmt numFmtId="209" formatCode="_(* #,##0.00_);_(* \(#,##0.00\);_(* &quot;-&quot;_);_(@_)"/>
    <numFmt numFmtId="210" formatCode="#,##0.0_);\(\-\)"/>
    <numFmt numFmtId="211" formatCode="#,##0.00_);\(\-\)"/>
    <numFmt numFmtId="212" formatCode="#,##0.00_);\(&quot;-&quot;\)"/>
    <numFmt numFmtId="213" formatCode="_(* #,##0.000_);_(* \(#,##0.000\);_(* &quot;-&quot;_);_(@_)"/>
    <numFmt numFmtId="214" formatCode="0\ \k\W"/>
    <numFmt numFmtId="215" formatCode="_(* #,##0.000_);_(* \(#,##0.000\);_(* &quot;-&quot;???_);_(@_)"/>
    <numFmt numFmtId="216" formatCode="[$-409]h:mm:ss\ AM/PM"/>
  </numFmts>
  <fonts count="53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9"/>
      <color indexed="10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 horizontal="center"/>
      <protection/>
    </xf>
    <xf numFmtId="15" fontId="4" fillId="0" borderId="0" xfId="58" applyNumberFormat="1" applyFont="1">
      <alignment/>
      <protection/>
    </xf>
    <xf numFmtId="0" fontId="4" fillId="0" borderId="0" xfId="58" applyFont="1" applyFill="1">
      <alignment/>
      <protection/>
    </xf>
    <xf numFmtId="2" fontId="4" fillId="0" borderId="0" xfId="58" applyNumberFormat="1" applyFont="1" applyFill="1">
      <alignment/>
      <protection/>
    </xf>
    <xf numFmtId="164" fontId="4" fillId="0" borderId="0" xfId="58" applyNumberFormat="1" applyFont="1" applyFill="1">
      <alignment/>
      <protection/>
    </xf>
    <xf numFmtId="165" fontId="4" fillId="0" borderId="0" xfId="58" applyNumberFormat="1" applyFont="1" applyFill="1">
      <alignment/>
      <protection/>
    </xf>
    <xf numFmtId="2" fontId="4" fillId="0" borderId="0" xfId="58" applyNumberFormat="1" applyFont="1">
      <alignment/>
      <protection/>
    </xf>
    <xf numFmtId="0" fontId="4" fillId="33" borderId="0" xfId="58" applyFont="1" applyFill="1">
      <alignment/>
      <protection/>
    </xf>
    <xf numFmtId="2" fontId="4" fillId="33" borderId="0" xfId="58" applyNumberFormat="1" applyFont="1" applyFill="1">
      <alignment/>
      <protection/>
    </xf>
    <xf numFmtId="166" fontId="4" fillId="0" borderId="0" xfId="58" applyNumberFormat="1" applyFont="1" applyFill="1">
      <alignment/>
      <protection/>
    </xf>
    <xf numFmtId="164" fontId="4" fillId="33" borderId="0" xfId="58" applyNumberFormat="1" applyFont="1" applyFill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58" applyFont="1" applyAlignment="1">
      <alignment horizontal="right"/>
      <protection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5" fontId="4" fillId="0" borderId="0" xfId="58" applyNumberFormat="1" applyFont="1" applyFill="1" applyAlignment="1">
      <alignment horizontal="center"/>
      <protection/>
    </xf>
    <xf numFmtId="15" fontId="4" fillId="0" borderId="0" xfId="58" applyNumberFormat="1" applyFont="1" applyAlignment="1">
      <alignment horizontal="right"/>
      <protection/>
    </xf>
    <xf numFmtId="0" fontId="4" fillId="0" borderId="0" xfId="58" applyFont="1" applyAlignment="1">
      <alignment horizontal="left"/>
      <protection/>
    </xf>
    <xf numFmtId="0" fontId="4" fillId="0" borderId="0" xfId="58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1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left" indent="1"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left" indent="1"/>
      <protection/>
    </xf>
    <xf numFmtId="0" fontId="9" fillId="0" borderId="0" xfId="57" applyFont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" fontId="8" fillId="0" borderId="0" xfId="57" applyNumberFormat="1" applyFont="1">
      <alignment/>
      <protection/>
    </xf>
    <xf numFmtId="2" fontId="9" fillId="0" borderId="0" xfId="57" applyNumberFormat="1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2" fontId="4" fillId="0" borderId="0" xfId="0" applyNumberFormat="1" applyFont="1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left" indent="1"/>
      <protection/>
    </xf>
    <xf numFmtId="0" fontId="10" fillId="0" borderId="10" xfId="57" applyFont="1" applyBorder="1" applyAlignment="1">
      <alignment horizontal="center"/>
      <protection/>
    </xf>
    <xf numFmtId="0" fontId="4" fillId="0" borderId="11" xfId="57" applyFont="1" applyBorder="1" applyAlignment="1">
      <alignment horizontal="left"/>
      <protection/>
    </xf>
    <xf numFmtId="0" fontId="4" fillId="0" borderId="11" xfId="57" applyFont="1" applyBorder="1" applyAlignment="1">
      <alignment horizontal="center"/>
      <protection/>
    </xf>
    <xf numFmtId="0" fontId="10" fillId="0" borderId="12" xfId="57" applyFont="1" applyBorder="1">
      <alignment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10" fillId="0" borderId="15" xfId="57" applyFont="1" applyBorder="1">
      <alignment/>
      <protection/>
    </xf>
    <xf numFmtId="0" fontId="4" fillId="0" borderId="16" xfId="57" applyFont="1" applyBorder="1" applyAlignment="1">
      <alignment horizontal="left"/>
      <protection/>
    </xf>
    <xf numFmtId="209" fontId="4" fillId="0" borderId="17" xfId="57" applyNumberFormat="1" applyFont="1" applyBorder="1" applyAlignment="1">
      <alignment horizontal="center"/>
      <protection/>
    </xf>
    <xf numFmtId="209" fontId="4" fillId="0" borderId="18" xfId="57" applyNumberFormat="1" applyFont="1" applyBorder="1" applyAlignment="1">
      <alignment horizontal="left" indent="1"/>
      <protection/>
    </xf>
    <xf numFmtId="209" fontId="4" fillId="0" borderId="11" xfId="57" applyNumberFormat="1" applyFont="1" applyBorder="1" applyAlignment="1">
      <alignment horizontal="center"/>
      <protection/>
    </xf>
    <xf numFmtId="209" fontId="4" fillId="0" borderId="19" xfId="57" applyNumberFormat="1" applyFont="1" applyBorder="1" applyAlignment="1">
      <alignment horizontal="center"/>
      <protection/>
    </xf>
    <xf numFmtId="209" fontId="4" fillId="0" borderId="19" xfId="57" applyNumberFormat="1" applyFont="1" applyBorder="1" applyAlignment="1">
      <alignment horizontal="left" indent="1"/>
      <protection/>
    </xf>
    <xf numFmtId="209" fontId="4" fillId="0" borderId="20" xfId="57" applyNumberFormat="1" applyFont="1" applyBorder="1" applyAlignment="1">
      <alignment horizontal="center"/>
      <protection/>
    </xf>
    <xf numFmtId="0" fontId="4" fillId="0" borderId="11" xfId="57" applyFont="1" applyFill="1" applyBorder="1" applyAlignment="1">
      <alignment horizontal="left"/>
      <protection/>
    </xf>
    <xf numFmtId="0" fontId="4" fillId="0" borderId="21" xfId="57" applyFont="1" applyBorder="1" applyAlignment="1">
      <alignment horizontal="center"/>
      <protection/>
    </xf>
    <xf numFmtId="2" fontId="12" fillId="0" borderId="22" xfId="57" applyNumberFormat="1" applyFont="1" applyBorder="1" applyAlignment="1">
      <alignment horizontal="center"/>
      <protection/>
    </xf>
    <xf numFmtId="2" fontId="12" fillId="0" borderId="23" xfId="57" applyNumberFormat="1" applyFont="1" applyBorder="1" applyAlignment="1">
      <alignment horizontal="center"/>
      <protection/>
    </xf>
    <xf numFmtId="2" fontId="12" fillId="0" borderId="24" xfId="57" applyNumberFormat="1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4" fillId="0" borderId="25" xfId="57" applyFont="1" applyBorder="1" applyAlignment="1">
      <alignment horizontal="left"/>
      <protection/>
    </xf>
    <xf numFmtId="0" fontId="4" fillId="0" borderId="25" xfId="57" applyFont="1" applyFill="1" applyBorder="1" applyAlignment="1">
      <alignment horizontal="left"/>
      <protection/>
    </xf>
    <xf numFmtId="209" fontId="4" fillId="0" borderId="26" xfId="57" applyNumberFormat="1" applyFont="1" applyBorder="1" applyAlignment="1">
      <alignment horizontal="center"/>
      <protection/>
    </xf>
    <xf numFmtId="209" fontId="4" fillId="0" borderId="27" xfId="57" applyNumberFormat="1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2" fontId="12" fillId="0" borderId="27" xfId="57" applyNumberFormat="1" applyFont="1" applyBorder="1" applyAlignment="1">
      <alignment horizontal="center"/>
      <protection/>
    </xf>
    <xf numFmtId="0" fontId="4" fillId="0" borderId="28" xfId="57" applyFont="1" applyBorder="1" applyAlignment="1">
      <alignment horizontal="center"/>
      <protection/>
    </xf>
    <xf numFmtId="0" fontId="10" fillId="0" borderId="29" xfId="57" applyFont="1" applyBorder="1" applyAlignment="1">
      <alignment horizontal="center"/>
      <protection/>
    </xf>
    <xf numFmtId="0" fontId="10" fillId="0" borderId="15" xfId="57" applyFont="1" applyBorder="1" applyAlignment="1">
      <alignment horizontal="center"/>
      <protection/>
    </xf>
    <xf numFmtId="0" fontId="10" fillId="0" borderId="30" xfId="57" applyFont="1" applyBorder="1" applyAlignment="1">
      <alignment horizontal="center"/>
      <protection/>
    </xf>
    <xf numFmtId="0" fontId="4" fillId="0" borderId="0" xfId="57" applyFont="1" applyBorder="1" applyAlignment="1">
      <alignment horizontal="right"/>
      <protection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7" applyFont="1" applyBorder="1" applyAlignment="1">
      <alignment horizontal="left" indent="1"/>
      <protection/>
    </xf>
    <xf numFmtId="164" fontId="4" fillId="0" borderId="0" xfId="0" applyNumberFormat="1" applyFont="1" applyAlignment="1">
      <alignment/>
    </xf>
    <xf numFmtId="15" fontId="13" fillId="0" borderId="0" xfId="0" applyNumberFormat="1" applyFont="1" applyAlignment="1">
      <alignment/>
    </xf>
    <xf numFmtId="2" fontId="4" fillId="0" borderId="0" xfId="57" applyNumberFormat="1" applyFont="1" applyAlignment="1">
      <alignment horizontal="left" indent="1"/>
      <protection/>
    </xf>
    <xf numFmtId="43" fontId="4" fillId="0" borderId="0" xfId="57" applyNumberFormat="1" applyFont="1" applyAlignment="1">
      <alignment horizontal="center"/>
      <protection/>
    </xf>
    <xf numFmtId="2" fontId="15" fillId="0" borderId="0" xfId="57" applyNumberFormat="1" applyFont="1">
      <alignment/>
      <protection/>
    </xf>
    <xf numFmtId="0" fontId="15" fillId="0" borderId="0" xfId="57" applyFont="1">
      <alignment/>
      <protection/>
    </xf>
    <xf numFmtId="209" fontId="14" fillId="0" borderId="20" xfId="57" applyNumberFormat="1" applyFont="1" applyBorder="1" applyAlignment="1">
      <alignment horizontal="center"/>
      <protection/>
    </xf>
    <xf numFmtId="209" fontId="14" fillId="0" borderId="19" xfId="57" applyNumberFormat="1" applyFont="1" applyBorder="1" applyAlignment="1">
      <alignment horizontal="center"/>
      <protection/>
    </xf>
    <xf numFmtId="209" fontId="14" fillId="0" borderId="19" xfId="57" applyNumberFormat="1" applyFont="1" applyBorder="1" applyAlignment="1">
      <alignment horizontal="left" indent="1"/>
      <protection/>
    </xf>
    <xf numFmtId="0" fontId="9" fillId="0" borderId="0" xfId="57" applyFont="1" applyAlignment="1">
      <alignment horizontal="right"/>
      <protection/>
    </xf>
    <xf numFmtId="17" fontId="9" fillId="0" borderId="0" xfId="57" applyNumberFormat="1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4" fillId="33" borderId="0" xfId="58" applyNumberFormat="1" applyFont="1" applyFill="1">
      <alignment/>
      <protection/>
    </xf>
    <xf numFmtId="0" fontId="4" fillId="0" borderId="0" xfId="58" applyFont="1" applyAlignment="1">
      <alignment horizontal="left"/>
      <protection/>
    </xf>
    <xf numFmtId="2" fontId="12" fillId="34" borderId="24" xfId="57" applyNumberFormat="1" applyFont="1" applyFill="1" applyBorder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7" applyFont="1" applyAlignment="1">
      <alignment horizontal="left" indent="1"/>
      <protection/>
    </xf>
    <xf numFmtId="0" fontId="4" fillId="35" borderId="13" xfId="57" applyFont="1" applyFill="1" applyBorder="1" applyAlignment="1">
      <alignment horizontal="center" vertical="center"/>
      <protection/>
    </xf>
    <xf numFmtId="0" fontId="4" fillId="35" borderId="14" xfId="57" applyFont="1" applyFill="1" applyBorder="1" applyAlignment="1">
      <alignment horizontal="center" vertical="center"/>
      <protection/>
    </xf>
    <xf numFmtId="209" fontId="4" fillId="35" borderId="17" xfId="57" applyNumberFormat="1" applyFont="1" applyFill="1" applyBorder="1" applyAlignment="1">
      <alignment horizontal="center"/>
      <protection/>
    </xf>
    <xf numFmtId="209" fontId="4" fillId="35" borderId="18" xfId="57" applyNumberFormat="1" applyFont="1" applyFill="1" applyBorder="1" applyAlignment="1">
      <alignment horizontal="center"/>
      <protection/>
    </xf>
    <xf numFmtId="209" fontId="4" fillId="35" borderId="18" xfId="57" applyNumberFormat="1" applyFont="1" applyFill="1" applyBorder="1" applyAlignment="1">
      <alignment horizontal="left" indent="1"/>
      <protection/>
    </xf>
    <xf numFmtId="209" fontId="4" fillId="35" borderId="11" xfId="57" applyNumberFormat="1" applyFont="1" applyFill="1" applyBorder="1" applyAlignment="1">
      <alignment horizontal="center"/>
      <protection/>
    </xf>
    <xf numFmtId="209" fontId="4" fillId="35" borderId="19" xfId="57" applyNumberFormat="1" applyFont="1" applyFill="1" applyBorder="1" applyAlignment="1">
      <alignment horizontal="center"/>
      <protection/>
    </xf>
    <xf numFmtId="209" fontId="4" fillId="35" borderId="19" xfId="57" applyNumberFormat="1" applyFont="1" applyFill="1" applyBorder="1" applyAlignment="1">
      <alignment horizontal="left" indent="1"/>
      <protection/>
    </xf>
    <xf numFmtId="209" fontId="14" fillId="35" borderId="11" xfId="57" applyNumberFormat="1" applyFont="1" applyFill="1" applyBorder="1" applyAlignment="1">
      <alignment horizontal="center"/>
      <protection/>
    </xf>
    <xf numFmtId="209" fontId="14" fillId="35" borderId="19" xfId="57" applyNumberFormat="1" applyFont="1" applyFill="1" applyBorder="1" applyAlignment="1">
      <alignment horizontal="center"/>
      <protection/>
    </xf>
    <xf numFmtId="209" fontId="4" fillId="35" borderId="20" xfId="57" applyNumberFormat="1" applyFont="1" applyFill="1" applyBorder="1" applyAlignment="1">
      <alignment horizontal="center"/>
      <protection/>
    </xf>
    <xf numFmtId="209" fontId="14" fillId="35" borderId="20" xfId="57" applyNumberFormat="1" applyFont="1" applyFill="1" applyBorder="1" applyAlignment="1">
      <alignment horizontal="center"/>
      <protection/>
    </xf>
    <xf numFmtId="2" fontId="12" fillId="35" borderId="22" xfId="57" applyNumberFormat="1" applyFont="1" applyFill="1" applyBorder="1" applyAlignment="1">
      <alignment horizontal="center"/>
      <protection/>
    </xf>
    <xf numFmtId="2" fontId="12" fillId="35" borderId="23" xfId="57" applyNumberFormat="1" applyFont="1" applyFill="1" applyBorder="1" applyAlignment="1">
      <alignment horizontal="center"/>
      <protection/>
    </xf>
    <xf numFmtId="2" fontId="12" fillId="35" borderId="31" xfId="57" applyNumberFormat="1" applyFont="1" applyFill="1" applyBorder="1" applyAlignment="1">
      <alignment horizontal="center"/>
      <protection/>
    </xf>
    <xf numFmtId="2" fontId="12" fillId="35" borderId="24" xfId="57" applyNumberFormat="1" applyFont="1" applyFill="1" applyBorder="1" applyAlignment="1">
      <alignment horizontal="center"/>
      <protection/>
    </xf>
    <xf numFmtId="209" fontId="14" fillId="35" borderId="19" xfId="57" applyNumberFormat="1" applyFont="1" applyFill="1" applyBorder="1" applyAlignment="1">
      <alignment horizontal="left" indent="1"/>
      <protection/>
    </xf>
    <xf numFmtId="209" fontId="4" fillId="35" borderId="32" xfId="57" applyNumberFormat="1" applyFont="1" applyFill="1" applyBorder="1" applyAlignment="1">
      <alignment horizontal="center"/>
      <protection/>
    </xf>
    <xf numFmtId="209" fontId="4" fillId="35" borderId="27" xfId="57" applyNumberFormat="1" applyFont="1" applyFill="1" applyBorder="1" applyAlignment="1">
      <alignment horizontal="center"/>
      <protection/>
    </xf>
    <xf numFmtId="209" fontId="4" fillId="35" borderId="26" xfId="57" applyNumberFormat="1" applyFont="1" applyFill="1" applyBorder="1" applyAlignment="1">
      <alignment horizontal="center"/>
      <protection/>
    </xf>
    <xf numFmtId="2" fontId="12" fillId="35" borderId="27" xfId="57" applyNumberFormat="1" applyFont="1" applyFill="1" applyBorder="1" applyAlignment="1">
      <alignment horizontal="center"/>
      <protection/>
    </xf>
    <xf numFmtId="0" fontId="4" fillId="35" borderId="0" xfId="57" applyFont="1" applyFill="1">
      <alignment/>
      <protection/>
    </xf>
    <xf numFmtId="0" fontId="4" fillId="35" borderId="0" xfId="57" applyFont="1" applyFill="1" applyAlignment="1">
      <alignment horizont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0" fontId="18" fillId="0" borderId="0" xfId="57" applyFont="1" applyAlignment="1">
      <alignment horizontal="left" indent="1"/>
      <protection/>
    </xf>
    <xf numFmtId="2" fontId="4" fillId="0" borderId="0" xfId="57" applyNumberFormat="1" applyFont="1">
      <alignment/>
      <protection/>
    </xf>
    <xf numFmtId="0" fontId="11" fillId="34" borderId="10" xfId="57" applyFont="1" applyFill="1" applyBorder="1" applyAlignment="1">
      <alignment horizontal="center"/>
      <protection/>
    </xf>
    <xf numFmtId="0" fontId="11" fillId="34" borderId="33" xfId="57" applyFont="1" applyFill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34" xfId="57" applyFont="1" applyBorder="1" applyAlignment="1">
      <alignment horizontal="center"/>
      <protection/>
    </xf>
    <xf numFmtId="164" fontId="10" fillId="0" borderId="35" xfId="57" applyNumberFormat="1" applyFont="1" applyBorder="1" applyAlignment="1">
      <alignment horizontal="center"/>
      <protection/>
    </xf>
    <xf numFmtId="164" fontId="10" fillId="0" borderId="36" xfId="57" applyNumberFormat="1" applyFont="1" applyBorder="1" applyAlignment="1">
      <alignment horizontal="center"/>
      <protection/>
    </xf>
    <xf numFmtId="0" fontId="11" fillId="0" borderId="37" xfId="57" applyFont="1" applyFill="1" applyBorder="1" applyAlignment="1">
      <alignment horizontal="center"/>
      <protection/>
    </xf>
    <xf numFmtId="0" fontId="11" fillId="0" borderId="38" xfId="57" applyFont="1" applyFill="1" applyBorder="1" applyAlignment="1">
      <alignment horizontal="center"/>
      <protection/>
    </xf>
    <xf numFmtId="1" fontId="4" fillId="0" borderId="11" xfId="57" applyNumberFormat="1" applyFont="1" applyBorder="1" applyAlignment="1">
      <alignment horizontal="center"/>
      <protection/>
    </xf>
    <xf numFmtId="1" fontId="4" fillId="0" borderId="34" xfId="57" applyNumberFormat="1" applyFont="1" applyBorder="1" applyAlignment="1">
      <alignment horizontal="center"/>
      <protection/>
    </xf>
    <xf numFmtId="2" fontId="4" fillId="0" borderId="32" xfId="57" applyNumberFormat="1" applyFont="1" applyBorder="1" applyAlignment="1">
      <alignment horizontal="center"/>
      <protection/>
    </xf>
    <xf numFmtId="2" fontId="4" fillId="0" borderId="39" xfId="57" applyNumberFormat="1" applyFont="1" applyBorder="1" applyAlignment="1">
      <alignment horizontal="center"/>
      <protection/>
    </xf>
    <xf numFmtId="0" fontId="11" fillId="0" borderId="37" xfId="57" applyFont="1" applyBorder="1" applyAlignment="1">
      <alignment horizontal="center"/>
      <protection/>
    </xf>
    <xf numFmtId="0" fontId="11" fillId="0" borderId="38" xfId="57" applyFont="1" applyBorder="1" applyAlignment="1">
      <alignment horizontal="center"/>
      <protection/>
    </xf>
    <xf numFmtId="2" fontId="4" fillId="0" borderId="11" xfId="57" applyNumberFormat="1" applyFont="1" applyBorder="1" applyAlignment="1">
      <alignment horizontal="center"/>
      <protection/>
    </xf>
    <xf numFmtId="2" fontId="4" fillId="0" borderId="34" xfId="57" applyNumberFormat="1" applyFont="1" applyBorder="1" applyAlignment="1">
      <alignment horizontal="center"/>
      <protection/>
    </xf>
    <xf numFmtId="165" fontId="4" fillId="0" borderId="11" xfId="57" applyNumberFormat="1" applyFont="1" applyBorder="1" applyAlignment="1">
      <alignment horizontal="center"/>
      <protection/>
    </xf>
    <xf numFmtId="165" fontId="4" fillId="0" borderId="34" xfId="57" applyNumberFormat="1" applyFont="1" applyBorder="1" applyAlignment="1">
      <alignment horizontal="center"/>
      <protection/>
    </xf>
    <xf numFmtId="169" fontId="4" fillId="0" borderId="11" xfId="57" applyNumberFormat="1" applyFont="1" applyBorder="1" applyAlignment="1">
      <alignment horizontal="center"/>
      <protection/>
    </xf>
    <xf numFmtId="169" fontId="4" fillId="0" borderId="34" xfId="57" applyNumberFormat="1" applyFont="1" applyBorder="1" applyAlignment="1">
      <alignment horizontal="center"/>
      <protection/>
    </xf>
    <xf numFmtId="164" fontId="10" fillId="0" borderId="35" xfId="57" applyNumberFormat="1" applyFont="1" applyFill="1" applyBorder="1" applyAlignment="1">
      <alignment horizontal="center"/>
      <protection/>
    </xf>
    <xf numFmtId="164" fontId="10" fillId="0" borderId="36" xfId="57" applyNumberFormat="1" applyFont="1" applyFill="1" applyBorder="1" applyAlignment="1">
      <alignment horizontal="center"/>
      <protection/>
    </xf>
    <xf numFmtId="2" fontId="4" fillId="35" borderId="11" xfId="57" applyNumberFormat="1" applyFont="1" applyFill="1" applyBorder="1" applyAlignment="1">
      <alignment horizontal="center"/>
      <protection/>
    </xf>
    <xf numFmtId="2" fontId="4" fillId="35" borderId="34" xfId="57" applyNumberFormat="1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4" fillId="35" borderId="34" xfId="57" applyFont="1" applyFill="1" applyBorder="1" applyAlignment="1">
      <alignment horizontal="center"/>
      <protection/>
    </xf>
    <xf numFmtId="1" fontId="4" fillId="35" borderId="11" xfId="57" applyNumberFormat="1" applyFont="1" applyFill="1" applyBorder="1" applyAlignment="1">
      <alignment horizontal="center"/>
      <protection/>
    </xf>
    <xf numFmtId="1" fontId="4" fillId="35" borderId="34" xfId="57" applyNumberFormat="1" applyFont="1" applyFill="1" applyBorder="1" applyAlignment="1">
      <alignment horizontal="center"/>
      <protection/>
    </xf>
    <xf numFmtId="0" fontId="16" fillId="34" borderId="10" xfId="57" applyFont="1" applyFill="1" applyBorder="1" applyAlignment="1">
      <alignment horizontal="center"/>
      <protection/>
    </xf>
    <xf numFmtId="0" fontId="16" fillId="34" borderId="33" xfId="57" applyFont="1" applyFill="1" applyBorder="1" applyAlignment="1">
      <alignment horizontal="center"/>
      <protection/>
    </xf>
    <xf numFmtId="169" fontId="4" fillId="35" borderId="11" xfId="57" applyNumberFormat="1" applyFont="1" applyFill="1" applyBorder="1" applyAlignment="1">
      <alignment horizontal="center"/>
      <protection/>
    </xf>
    <xf numFmtId="169" fontId="4" fillId="35" borderId="34" xfId="57" applyNumberFormat="1" applyFont="1" applyFill="1" applyBorder="1" applyAlignment="1">
      <alignment horizontal="center"/>
      <protection/>
    </xf>
    <xf numFmtId="0" fontId="11" fillId="35" borderId="10" xfId="57" applyFont="1" applyFill="1" applyBorder="1" applyAlignment="1">
      <alignment horizontal="center"/>
      <protection/>
    </xf>
    <xf numFmtId="0" fontId="11" fillId="35" borderId="33" xfId="57" applyFont="1" applyFill="1" applyBorder="1" applyAlignment="1">
      <alignment horizontal="center"/>
      <protection/>
    </xf>
    <xf numFmtId="164" fontId="10" fillId="35" borderId="35" xfId="57" applyNumberFormat="1" applyFont="1" applyFill="1" applyBorder="1" applyAlignment="1">
      <alignment horizontal="center"/>
      <protection/>
    </xf>
    <xf numFmtId="164" fontId="10" fillId="35" borderId="36" xfId="57" applyNumberFormat="1" applyFont="1" applyFill="1" applyBorder="1" applyAlignment="1">
      <alignment horizontal="center"/>
      <protection/>
    </xf>
    <xf numFmtId="0" fontId="11" fillId="35" borderId="37" xfId="57" applyFont="1" applyFill="1" applyBorder="1" applyAlignment="1">
      <alignment horizontal="center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34" xfId="57" applyFont="1" applyFill="1" applyBorder="1" applyAlignment="1">
      <alignment horizontal="center"/>
      <protection/>
    </xf>
    <xf numFmtId="165" fontId="4" fillId="35" borderId="11" xfId="57" applyNumberFormat="1" applyFont="1" applyFill="1" applyBorder="1" applyAlignment="1">
      <alignment horizontal="center"/>
      <protection/>
    </xf>
    <xf numFmtId="165" fontId="4" fillId="35" borderId="34" xfId="57" applyNumberFormat="1" applyFont="1" applyFill="1" applyBorder="1" applyAlignment="1">
      <alignment horizontal="center"/>
      <protection/>
    </xf>
    <xf numFmtId="0" fontId="10" fillId="35" borderId="10" xfId="57" applyFont="1" applyFill="1" applyBorder="1" applyAlignment="1">
      <alignment horizontal="center"/>
      <protection/>
    </xf>
    <xf numFmtId="0" fontId="10" fillId="35" borderId="33" xfId="57" applyFont="1" applyFill="1" applyBorder="1" applyAlignment="1">
      <alignment horizontal="center"/>
      <protection/>
    </xf>
    <xf numFmtId="0" fontId="4" fillId="35" borderId="40" xfId="57" applyFont="1" applyFill="1" applyBorder="1" applyAlignment="1">
      <alignment horizontal="center"/>
      <protection/>
    </xf>
    <xf numFmtId="0" fontId="4" fillId="35" borderId="24" xfId="57" applyFont="1" applyFill="1" applyBorder="1" applyAlignment="1">
      <alignment horizontal="center"/>
      <protection/>
    </xf>
    <xf numFmtId="2" fontId="4" fillId="35" borderId="32" xfId="57" applyNumberFormat="1" applyFont="1" applyFill="1" applyBorder="1" applyAlignment="1">
      <alignment horizontal="center"/>
      <protection/>
    </xf>
    <xf numFmtId="2" fontId="4" fillId="35" borderId="39" xfId="57" applyNumberFormat="1" applyFont="1" applyFill="1" applyBorder="1" applyAlignment="1">
      <alignment horizontal="center"/>
      <protection/>
    </xf>
    <xf numFmtId="0" fontId="11" fillId="35" borderId="15" xfId="57" applyFont="1" applyFill="1" applyBorder="1" applyAlignment="1">
      <alignment horizontal="center"/>
      <protection/>
    </xf>
    <xf numFmtId="0" fontId="4" fillId="35" borderId="32" xfId="57" applyFont="1" applyFill="1" applyBorder="1" applyAlignment="1">
      <alignment horizontal="center"/>
      <protection/>
    </xf>
    <xf numFmtId="0" fontId="4" fillId="35" borderId="39" xfId="57" applyFont="1" applyFill="1" applyBorder="1" applyAlignment="1">
      <alignment horizontal="center"/>
      <protection/>
    </xf>
    <xf numFmtId="0" fontId="11" fillId="34" borderId="15" xfId="57" applyFont="1" applyFill="1" applyBorder="1" applyAlignment="1">
      <alignment horizontal="center"/>
      <protection/>
    </xf>
    <xf numFmtId="0" fontId="11" fillId="34" borderId="37" xfId="57" applyFont="1" applyFill="1" applyBorder="1" applyAlignment="1">
      <alignment horizontal="center"/>
      <protection/>
    </xf>
    <xf numFmtId="0" fontId="11" fillId="34" borderId="38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LC-Heat-CryoPower-19Oct06.xls" xfId="57"/>
    <cellStyle name="Normal_VLHCidealPow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38"/>
  <sheetViews>
    <sheetView zoomScale="125" zoomScaleNormal="125" workbookViewId="0" topLeftCell="A1">
      <selection activeCell="D67" sqref="D67"/>
    </sheetView>
  </sheetViews>
  <sheetFormatPr defaultColWidth="7.875" defaultRowHeight="12.75"/>
  <cols>
    <col min="1" max="1" width="7.875" style="33" customWidth="1"/>
    <col min="2" max="2" width="21.125" style="33" customWidth="1"/>
    <col min="3" max="3" width="8.125" style="33" customWidth="1"/>
    <col min="4" max="4" width="8.125" style="35" customWidth="1"/>
    <col min="5" max="5" width="8.125" style="33" customWidth="1"/>
    <col min="6" max="6" width="8.125" style="35" customWidth="1"/>
    <col min="7" max="7" width="8.125" style="33" customWidth="1"/>
    <col min="8" max="18" width="8.125" style="35" customWidth="1"/>
    <col min="19" max="19" width="35.25390625" style="34" customWidth="1"/>
    <col min="20" max="20" width="7.875" style="33" customWidth="1"/>
    <col min="21" max="21" width="6.375" style="33" customWidth="1"/>
    <col min="22" max="16384" width="7.875" style="33" customWidth="1"/>
  </cols>
  <sheetData>
    <row r="2" ht="12">
      <c r="B2" s="42" t="s">
        <v>155</v>
      </c>
    </row>
    <row r="3" ht="12.75" thickBot="1">
      <c r="B3" s="42" t="s">
        <v>55</v>
      </c>
    </row>
    <row r="4" spans="2:19" ht="12.75" thickBot="1">
      <c r="B4" s="42" t="s">
        <v>99</v>
      </c>
      <c r="C4" s="42"/>
      <c r="D4" s="43"/>
      <c r="E4" s="42"/>
      <c r="F4" s="43"/>
      <c r="G4" s="42"/>
      <c r="H4" s="43"/>
      <c r="I4" s="43"/>
      <c r="J4" s="43"/>
      <c r="K4" s="43"/>
      <c r="L4" s="43"/>
      <c r="M4" s="43"/>
      <c r="N4" s="43"/>
      <c r="O4" s="184" t="s">
        <v>211</v>
      </c>
      <c r="P4" s="185"/>
      <c r="Q4" s="185"/>
      <c r="R4" s="186"/>
      <c r="S4" s="44"/>
    </row>
    <row r="5" spans="1:19" ht="15.75" thickBot="1">
      <c r="A5" s="30"/>
      <c r="C5" s="128" t="s">
        <v>118</v>
      </c>
      <c r="D5" s="129"/>
      <c r="E5" s="128"/>
      <c r="F5" s="129"/>
      <c r="G5" s="128"/>
      <c r="H5" s="129"/>
      <c r="I5" s="43"/>
      <c r="J5" s="43"/>
      <c r="K5" s="43"/>
      <c r="L5" s="43"/>
      <c r="M5" s="134" t="s">
        <v>166</v>
      </c>
      <c r="N5" s="135"/>
      <c r="O5" s="134" t="s">
        <v>164</v>
      </c>
      <c r="P5" s="135"/>
      <c r="Q5" s="134" t="s">
        <v>165</v>
      </c>
      <c r="R5" s="135"/>
      <c r="S5" s="44"/>
    </row>
    <row r="6" spans="1:19" ht="15">
      <c r="A6" s="30"/>
      <c r="B6" s="45" t="s">
        <v>153</v>
      </c>
      <c r="C6" s="175" t="s">
        <v>154</v>
      </c>
      <c r="D6" s="176"/>
      <c r="E6" s="166" t="s">
        <v>158</v>
      </c>
      <c r="F6" s="167"/>
      <c r="G6" s="166" t="s">
        <v>119</v>
      </c>
      <c r="H6" s="167"/>
      <c r="I6" s="134" t="s">
        <v>208</v>
      </c>
      <c r="J6" s="135"/>
      <c r="K6" s="134" t="s">
        <v>209</v>
      </c>
      <c r="L6" s="135"/>
      <c r="M6" s="134" t="s">
        <v>214</v>
      </c>
      <c r="N6" s="135"/>
      <c r="O6" s="162" t="s">
        <v>210</v>
      </c>
      <c r="P6" s="163"/>
      <c r="Q6" s="162" t="s">
        <v>210</v>
      </c>
      <c r="R6" s="163"/>
      <c r="S6" s="78" t="s">
        <v>193</v>
      </c>
    </row>
    <row r="7" spans="1:19" ht="15">
      <c r="A7" s="30"/>
      <c r="B7" s="46" t="s">
        <v>19</v>
      </c>
      <c r="C7" s="177">
        <v>23.4</v>
      </c>
      <c r="D7" s="178"/>
      <c r="E7" s="158">
        <v>31.5</v>
      </c>
      <c r="F7" s="159"/>
      <c r="G7" s="158">
        <v>31.5</v>
      </c>
      <c r="H7" s="159"/>
      <c r="I7" s="136">
        <v>31.5</v>
      </c>
      <c r="J7" s="137"/>
      <c r="K7" s="136">
        <v>31.5</v>
      </c>
      <c r="L7" s="137"/>
      <c r="M7" s="136">
        <v>24.1</v>
      </c>
      <c r="N7" s="137"/>
      <c r="O7" s="136">
        <v>23.7</v>
      </c>
      <c r="P7" s="137"/>
      <c r="Q7" s="136">
        <v>23.7</v>
      </c>
      <c r="R7" s="137"/>
      <c r="S7" s="44" t="s">
        <v>127</v>
      </c>
    </row>
    <row r="8" spans="1:19" ht="15">
      <c r="A8" s="30"/>
      <c r="B8" s="46" t="s">
        <v>20</v>
      </c>
      <c r="C8" s="164">
        <v>10000000000</v>
      </c>
      <c r="D8" s="165"/>
      <c r="E8" s="164">
        <v>10000000000</v>
      </c>
      <c r="F8" s="165"/>
      <c r="G8" s="164">
        <v>10000000000</v>
      </c>
      <c r="H8" s="165"/>
      <c r="I8" s="152">
        <v>10000000000</v>
      </c>
      <c r="J8" s="153"/>
      <c r="K8" s="152">
        <v>10000000000</v>
      </c>
      <c r="L8" s="153"/>
      <c r="M8" s="152">
        <v>10000000000</v>
      </c>
      <c r="N8" s="153"/>
      <c r="O8" s="152">
        <v>10000000000</v>
      </c>
      <c r="P8" s="153"/>
      <c r="Q8" s="152">
        <v>10000000000</v>
      </c>
      <c r="R8" s="153"/>
      <c r="S8" s="44"/>
    </row>
    <row r="9" spans="1:19" ht="15">
      <c r="A9" s="30"/>
      <c r="B9" s="46" t="s">
        <v>21</v>
      </c>
      <c r="C9" s="158">
        <v>5</v>
      </c>
      <c r="D9" s="159"/>
      <c r="E9" s="158">
        <v>5</v>
      </c>
      <c r="F9" s="159"/>
      <c r="G9" s="158">
        <v>5</v>
      </c>
      <c r="H9" s="159"/>
      <c r="I9" s="136">
        <v>5</v>
      </c>
      <c r="J9" s="137"/>
      <c r="K9" s="136">
        <v>5</v>
      </c>
      <c r="L9" s="137"/>
      <c r="M9" s="136">
        <v>5</v>
      </c>
      <c r="N9" s="137"/>
      <c r="O9" s="136">
        <v>5</v>
      </c>
      <c r="P9" s="137"/>
      <c r="Q9" s="136">
        <v>5</v>
      </c>
      <c r="R9" s="137"/>
      <c r="S9" s="44"/>
    </row>
    <row r="10" spans="1:19" ht="15">
      <c r="A10" s="30"/>
      <c r="B10" s="46" t="s">
        <v>22</v>
      </c>
      <c r="C10" s="158">
        <v>12</v>
      </c>
      <c r="D10" s="159"/>
      <c r="E10" s="173">
        <f>(9+8+9)/3</f>
        <v>8.666666666666666</v>
      </c>
      <c r="F10" s="174"/>
      <c r="G10" s="173">
        <f>(9+8+9)/3</f>
        <v>8.666666666666666</v>
      </c>
      <c r="H10" s="174"/>
      <c r="I10" s="150">
        <f>E10</f>
        <v>8.666666666666666</v>
      </c>
      <c r="J10" s="151"/>
      <c r="K10" s="150">
        <f>I10</f>
        <v>8.666666666666666</v>
      </c>
      <c r="L10" s="151"/>
      <c r="M10" s="150">
        <v>8</v>
      </c>
      <c r="N10" s="151"/>
      <c r="O10" s="150">
        <v>8</v>
      </c>
      <c r="P10" s="151"/>
      <c r="Q10" s="150">
        <v>8</v>
      </c>
      <c r="R10" s="151"/>
      <c r="S10" s="44" t="s">
        <v>52</v>
      </c>
    </row>
    <row r="11" spans="1:23" ht="15">
      <c r="A11" s="30"/>
      <c r="B11" s="46" t="s">
        <v>23</v>
      </c>
      <c r="C11" s="158">
        <v>420</v>
      </c>
      <c r="D11" s="159"/>
      <c r="E11" s="160">
        <f>$C11*(E7/$C7)/E19</f>
        <v>597.1477960242006</v>
      </c>
      <c r="F11" s="161"/>
      <c r="G11" s="160">
        <f>$C11*(G7/$C7)/G19</f>
        <v>597.1477960242006</v>
      </c>
      <c r="H11" s="161"/>
      <c r="I11" s="142">
        <v>924</v>
      </c>
      <c r="J11" s="143"/>
      <c r="K11" s="142">
        <v>924</v>
      </c>
      <c r="L11" s="143"/>
      <c r="M11" s="142">
        <v>471</v>
      </c>
      <c r="N11" s="143"/>
      <c r="O11" s="142">
        <v>463</v>
      </c>
      <c r="P11" s="143"/>
      <c r="Q11" s="142">
        <v>463</v>
      </c>
      <c r="R11" s="143"/>
      <c r="S11" s="44" t="s">
        <v>24</v>
      </c>
      <c r="V11" s="89">
        <v>38046</v>
      </c>
      <c r="W11" s="33" t="s">
        <v>161</v>
      </c>
    </row>
    <row r="12" spans="1:22" ht="15">
      <c r="A12" s="30"/>
      <c r="B12" s="59" t="s">
        <v>25</v>
      </c>
      <c r="C12" s="158">
        <v>950</v>
      </c>
      <c r="D12" s="159"/>
      <c r="E12" s="158">
        <v>969</v>
      </c>
      <c r="F12" s="159"/>
      <c r="G12" s="158">
        <v>969</v>
      </c>
      <c r="H12" s="159"/>
      <c r="I12" s="171">
        <v>727</v>
      </c>
      <c r="J12" s="172"/>
      <c r="K12" s="171">
        <v>727</v>
      </c>
      <c r="L12" s="172"/>
      <c r="M12" s="136">
        <v>727</v>
      </c>
      <c r="N12" s="137"/>
      <c r="O12" s="136">
        <v>727</v>
      </c>
      <c r="P12" s="137"/>
      <c r="Q12" s="136">
        <v>727</v>
      </c>
      <c r="R12" s="137"/>
      <c r="S12" s="44" t="s">
        <v>26</v>
      </c>
      <c r="V12" s="33" t="s">
        <v>101</v>
      </c>
    </row>
    <row r="13" spans="1:24" ht="15">
      <c r="A13" s="30"/>
      <c r="B13" s="46" t="s">
        <v>62</v>
      </c>
      <c r="C13" s="160">
        <v>2820</v>
      </c>
      <c r="D13" s="161"/>
      <c r="E13" s="160">
        <f>2670</f>
        <v>2670</v>
      </c>
      <c r="F13" s="161"/>
      <c r="G13" s="160">
        <f>2670</f>
        <v>2670</v>
      </c>
      <c r="H13" s="161"/>
      <c r="I13" s="142">
        <v>1312</v>
      </c>
      <c r="J13" s="143"/>
      <c r="K13" s="142">
        <v>1312</v>
      </c>
      <c r="L13" s="143"/>
      <c r="M13" s="142">
        <v>1312</v>
      </c>
      <c r="N13" s="143"/>
      <c r="O13" s="142">
        <v>1312</v>
      </c>
      <c r="P13" s="143"/>
      <c r="Q13" s="142">
        <v>1312</v>
      </c>
      <c r="R13" s="143"/>
      <c r="S13" s="44" t="s">
        <v>63</v>
      </c>
      <c r="V13" s="33" t="s">
        <v>102</v>
      </c>
      <c r="X13" s="84"/>
    </row>
    <row r="14" spans="1:24" ht="15">
      <c r="A14" s="30"/>
      <c r="B14" s="46" t="s">
        <v>28</v>
      </c>
      <c r="C14" s="158">
        <v>2</v>
      </c>
      <c r="D14" s="159"/>
      <c r="E14" s="156">
        <v>2.04</v>
      </c>
      <c r="F14" s="157"/>
      <c r="G14" s="156">
        <v>2.04</v>
      </c>
      <c r="H14" s="157"/>
      <c r="I14" s="148">
        <f>(I15*10^-3)*I9*(I12*10^-6)/(I9*I13*1.609*10^-19)/10^10</f>
        <v>1.997434401006533</v>
      </c>
      <c r="J14" s="149"/>
      <c r="K14" s="148">
        <f>(K15*10^-3)*K9*(K12*10^-6)/(K9*K13*1.609*10^-19)/10^10</f>
        <v>1.997434401006533</v>
      </c>
      <c r="L14" s="149"/>
      <c r="M14" s="148">
        <f>(M15*10^-3)*M9*(M12*10^-6)/(M9*M13*1.609*10^-19)/10^10</f>
        <v>2.9961516015097995</v>
      </c>
      <c r="N14" s="149"/>
      <c r="O14" s="148">
        <f>(O15*10^-3)*O9*(O12*10^-6)/(O9*O13*1.609*10^-19)/10^10</f>
        <v>2.9961516015097995</v>
      </c>
      <c r="P14" s="149"/>
      <c r="Q14" s="148">
        <f>(Q15*10^-3)*Q9*(Q12*10^-6)/(Q9*Q13*1.609*10^-19)/10^10</f>
        <v>2.9961516015097995</v>
      </c>
      <c r="R14" s="149"/>
      <c r="S14" s="44" t="s">
        <v>29</v>
      </c>
      <c r="U14" s="84"/>
      <c r="V14" s="84" t="s">
        <v>145</v>
      </c>
      <c r="W14" s="84"/>
      <c r="X14" s="84"/>
    </row>
    <row r="15" spans="1:24" ht="15">
      <c r="A15" s="30"/>
      <c r="B15" s="46" t="s">
        <v>163</v>
      </c>
      <c r="C15" s="156">
        <f>(C9*C14*10^10*C13*10^3)*(1.602/10^19)/(C9*C12/10^6)</f>
        <v>9.510821052631579</v>
      </c>
      <c r="D15" s="157"/>
      <c r="E15" s="156">
        <f>(E9*E14*10^10*E13*10^3)*(1.602/10^19)/(E9*E12/10^6)</f>
        <v>9.004926315789474</v>
      </c>
      <c r="F15" s="157"/>
      <c r="G15" s="156">
        <f>(G9*G14*10^10*G13*10^3)*(1.602/10^19)/(G9*G12/10^6)</f>
        <v>9.004926315789474</v>
      </c>
      <c r="H15" s="157"/>
      <c r="I15" s="148">
        <v>5.8</v>
      </c>
      <c r="J15" s="149"/>
      <c r="K15" s="148">
        <v>5.8</v>
      </c>
      <c r="L15" s="149"/>
      <c r="M15" s="148">
        <v>8.7</v>
      </c>
      <c r="N15" s="149"/>
      <c r="O15" s="148">
        <v>8.7</v>
      </c>
      <c r="P15" s="149"/>
      <c r="Q15" s="148">
        <v>8.7</v>
      </c>
      <c r="R15" s="149"/>
      <c r="S15" s="44"/>
      <c r="U15" s="84"/>
      <c r="V15" s="84" t="s">
        <v>147</v>
      </c>
      <c r="W15" s="84"/>
      <c r="X15" s="84"/>
    </row>
    <row r="16" spans="1:24" ht="15">
      <c r="A16" s="30"/>
      <c r="B16" s="46" t="s">
        <v>64</v>
      </c>
      <c r="C16" s="160"/>
      <c r="D16" s="161"/>
      <c r="E16" s="156">
        <f>(E7/$C7)^2*(E12+1.11*E11)/($C12+1.11*$C11)</f>
        <v>2.088049522102137</v>
      </c>
      <c r="F16" s="157"/>
      <c r="G16" s="156">
        <f>(G7/$C7)^2*(G12+1.11*G11)/($C12+1.11*$C11)</f>
        <v>2.088049522102137</v>
      </c>
      <c r="H16" s="157"/>
      <c r="I16" s="148">
        <f>(I7/$C7)^2*(I12+1.11*I11)/($C12+1.11*$C11)</f>
        <v>2.2426294551048773</v>
      </c>
      <c r="J16" s="149"/>
      <c r="K16" s="148">
        <f>(K7/$C7)^2*(K12+1.11*K11)/($C12+1.11*$C11)</f>
        <v>2.2426294551048773</v>
      </c>
      <c r="L16" s="149"/>
      <c r="M16" s="148">
        <f>(M7/$C7)^2*(M12+1.11*M11)/($C12+1.11*$C11)</f>
        <v>0.9360989875109008</v>
      </c>
      <c r="N16" s="149"/>
      <c r="O16" s="148">
        <f>(O7/$C7)^2*(O12+1.11*O11)/($C12+1.11*$C11)</f>
        <v>0.8988509278981887</v>
      </c>
      <c r="P16" s="149"/>
      <c r="Q16" s="148">
        <f>(Q7/$C7)^2*(Q12+1.11*Q11)/($C12+1.11*$C11)</f>
        <v>0.8988509278981887</v>
      </c>
      <c r="R16" s="149"/>
      <c r="S16" s="44" t="s">
        <v>65</v>
      </c>
      <c r="U16" s="84"/>
      <c r="V16" s="33" t="s">
        <v>202</v>
      </c>
      <c r="W16" s="33" t="s">
        <v>176</v>
      </c>
      <c r="X16" s="33" t="s">
        <v>177</v>
      </c>
    </row>
    <row r="17" spans="1:24" ht="15">
      <c r="A17" s="30"/>
      <c r="B17" s="46" t="s">
        <v>66</v>
      </c>
      <c r="C17" s="160"/>
      <c r="D17" s="161"/>
      <c r="E17" s="156">
        <f>(E7/$C7)*(E12+2*E11)/($C12+2*$C11)*E19</f>
        <v>1.5403509607911678</v>
      </c>
      <c r="F17" s="157"/>
      <c r="G17" s="156">
        <f>(G7/$C7)*(G12+2*G11)/($C12+2*$C11)*G19</f>
        <v>1.5403509607911678</v>
      </c>
      <c r="H17" s="157"/>
      <c r="I17" s="148">
        <f>(I7/$C7)*(I12+2*I11)/($C12+2*$C11)*I19</f>
        <v>1.1758051269572216</v>
      </c>
      <c r="J17" s="149"/>
      <c r="K17" s="148">
        <f>(K7/$C7)*(K12+2*K11)/($C12+2*$C11)*K19</f>
        <v>1.1758051269572216</v>
      </c>
      <c r="L17" s="149"/>
      <c r="M17" s="148">
        <f>(M7/$C7)*(M12+2*M11)/($C12+2*$C11)*M19</f>
        <v>0.8746054931315326</v>
      </c>
      <c r="N17" s="149"/>
      <c r="O17" s="148">
        <f>(O7/$C7)*(O12+2*O11)/($C12+2*$C11)*O19</f>
        <v>0.8518439063187943</v>
      </c>
      <c r="P17" s="149"/>
      <c r="Q17" s="148">
        <f>(Q7/$C7)*(Q12+2*Q11)/($C12+2*$C11)*Q19</f>
        <v>0.8518439063187943</v>
      </c>
      <c r="R17" s="149"/>
      <c r="S17" s="44" t="s">
        <v>126</v>
      </c>
      <c r="U17" s="84" t="s">
        <v>146</v>
      </c>
      <c r="V17" s="83">
        <v>0.02</v>
      </c>
      <c r="W17" s="83">
        <v>0.2</v>
      </c>
      <c r="X17" s="83">
        <v>1.9</v>
      </c>
    </row>
    <row r="18" spans="1:24" ht="15">
      <c r="A18" s="30"/>
      <c r="B18" s="46" t="s">
        <v>67</v>
      </c>
      <c r="C18" s="158"/>
      <c r="D18" s="159"/>
      <c r="E18" s="156">
        <f>E13/$C13*(E14/$C14)^2</f>
        <v>0.9850595744680851</v>
      </c>
      <c r="F18" s="157"/>
      <c r="G18" s="156">
        <f>G13/$C13*(G14/$C14)^2</f>
        <v>0.9850595744680851</v>
      </c>
      <c r="H18" s="157"/>
      <c r="I18" s="148">
        <f>I13/$C13*(I14/$C14)^2</f>
        <v>0.46405535216821964</v>
      </c>
      <c r="J18" s="149"/>
      <c r="K18" s="148">
        <f>K13/$C13*(K14/$C14)^2</f>
        <v>0.46405535216821964</v>
      </c>
      <c r="L18" s="149"/>
      <c r="M18" s="148">
        <f>M13/$C13*(M14/$C14)^2</f>
        <v>1.0441245423784942</v>
      </c>
      <c r="N18" s="149"/>
      <c r="O18" s="148">
        <f>O13/$C13*(O14/$C14)^2</f>
        <v>1.0441245423784942</v>
      </c>
      <c r="P18" s="149"/>
      <c r="Q18" s="148">
        <f>Q13/$C13*(Q14/$C14)^2</f>
        <v>1.0441245423784942</v>
      </c>
      <c r="R18" s="149"/>
      <c r="S18" s="44" t="s">
        <v>128</v>
      </c>
      <c r="U18" s="84" t="s">
        <v>154</v>
      </c>
      <c r="V18" s="83">
        <v>0.06</v>
      </c>
      <c r="W18" s="83">
        <v>0.5</v>
      </c>
      <c r="X18" s="83">
        <v>6</v>
      </c>
    </row>
    <row r="19" spans="1:24" ht="15">
      <c r="A19" s="30"/>
      <c r="B19" s="46" t="s">
        <v>68</v>
      </c>
      <c r="C19" s="182"/>
      <c r="D19" s="183"/>
      <c r="E19" s="179">
        <f>E14*(E13/E12)/($C14*$C13/$C12)</f>
        <v>0.9468085106382979</v>
      </c>
      <c r="F19" s="180"/>
      <c r="G19" s="179">
        <f>G14*(G13/G12)/($C14*$C13/$C12)</f>
        <v>0.9468085106382979</v>
      </c>
      <c r="H19" s="180"/>
      <c r="I19" s="144">
        <f>I14*(I13/I12)/($C14*$C13/$C12)</f>
        <v>0.6071785920509192</v>
      </c>
      <c r="J19" s="145"/>
      <c r="K19" s="144">
        <f>K14*(K13/K12)/($C14*$C13/$C12)</f>
        <v>0.6071785920509192</v>
      </c>
      <c r="L19" s="145"/>
      <c r="M19" s="144">
        <f>M14*(M13/M12)/($C14*$C13/$C12)</f>
        <v>0.9107678880763787</v>
      </c>
      <c r="N19" s="145"/>
      <c r="O19" s="144">
        <f>O14*(O13/O12)/($C14*$C13/$C12)</f>
        <v>0.9107678880763787</v>
      </c>
      <c r="P19" s="145"/>
      <c r="Q19" s="144">
        <f>Q14*(Q13/Q12)/($C14*$C13/$C12)</f>
        <v>0.9107678880763787</v>
      </c>
      <c r="R19" s="145"/>
      <c r="S19" s="44" t="s">
        <v>30</v>
      </c>
      <c r="U19" s="88" t="s">
        <v>100</v>
      </c>
      <c r="V19" s="38">
        <f>V18-V17</f>
        <v>0.039999999999999994</v>
      </c>
      <c r="W19" s="38">
        <f>W18-W17</f>
        <v>0.3</v>
      </c>
      <c r="X19" s="38">
        <f>X18-X17</f>
        <v>4.1</v>
      </c>
    </row>
    <row r="20" spans="1:19" ht="15.75" thickBot="1">
      <c r="A20" s="30"/>
      <c r="B20" s="48"/>
      <c r="C20" s="107" t="s">
        <v>181</v>
      </c>
      <c r="D20" s="108" t="s">
        <v>182</v>
      </c>
      <c r="E20" s="107" t="s">
        <v>181</v>
      </c>
      <c r="F20" s="108" t="s">
        <v>182</v>
      </c>
      <c r="G20" s="107" t="s">
        <v>181</v>
      </c>
      <c r="H20" s="108" t="s">
        <v>182</v>
      </c>
      <c r="I20" s="49" t="s">
        <v>181</v>
      </c>
      <c r="J20" s="50" t="s">
        <v>182</v>
      </c>
      <c r="K20" s="49" t="s">
        <v>181</v>
      </c>
      <c r="L20" s="50" t="s">
        <v>182</v>
      </c>
      <c r="M20" s="49" t="s">
        <v>181</v>
      </c>
      <c r="N20" s="50" t="s">
        <v>182</v>
      </c>
      <c r="O20" s="49" t="s">
        <v>181</v>
      </c>
      <c r="P20" s="50" t="s">
        <v>182</v>
      </c>
      <c r="Q20" s="49" t="s">
        <v>181</v>
      </c>
      <c r="R20" s="50" t="s">
        <v>182</v>
      </c>
      <c r="S20" s="44"/>
    </row>
    <row r="21" spans="1:19" ht="15.75" thickBot="1">
      <c r="A21" s="30"/>
      <c r="B21" s="51" t="s">
        <v>183</v>
      </c>
      <c r="C21" s="181" t="s">
        <v>184</v>
      </c>
      <c r="D21" s="170"/>
      <c r="E21" s="170" t="s">
        <v>184</v>
      </c>
      <c r="F21" s="170"/>
      <c r="G21" s="170" t="s">
        <v>184</v>
      </c>
      <c r="H21" s="170"/>
      <c r="I21" s="146" t="s">
        <v>184</v>
      </c>
      <c r="J21" s="147"/>
      <c r="K21" s="146" t="s">
        <v>184</v>
      </c>
      <c r="L21" s="147"/>
      <c r="M21" s="146" t="s">
        <v>184</v>
      </c>
      <c r="N21" s="147"/>
      <c r="O21" s="146" t="s">
        <v>184</v>
      </c>
      <c r="P21" s="147"/>
      <c r="Q21" s="146" t="s">
        <v>184</v>
      </c>
      <c r="R21" s="147"/>
      <c r="S21" s="44"/>
    </row>
    <row r="22" spans="1:19" ht="15">
      <c r="A22" s="30"/>
      <c r="B22" s="52" t="s">
        <v>185</v>
      </c>
      <c r="C22" s="109"/>
      <c r="D22" s="110">
        <v>4.95</v>
      </c>
      <c r="E22" s="109"/>
      <c r="F22" s="111">
        <f>$D22*(E10/$C10)*E16</f>
        <v>7.4647770415151395</v>
      </c>
      <c r="G22" s="109"/>
      <c r="H22" s="111">
        <f>$D22*(G10/$C10)*G16</f>
        <v>7.4647770415151395</v>
      </c>
      <c r="I22" s="53"/>
      <c r="J22" s="54">
        <f>$D22*(I10/$C10)*I16</f>
        <v>8.017400301999936</v>
      </c>
      <c r="K22" s="53"/>
      <c r="L22" s="54">
        <f>$D22*(K10/$C10)*K16</f>
        <v>8.017400301999936</v>
      </c>
      <c r="M22" s="53"/>
      <c r="N22" s="54">
        <f>$D22*(M10/$C10)*M16</f>
        <v>3.0891266587859727</v>
      </c>
      <c r="O22" s="53"/>
      <c r="P22" s="54">
        <f>$D22*(O10/$C10)*O16</f>
        <v>2.9662080620640223</v>
      </c>
      <c r="Q22" s="53"/>
      <c r="R22" s="54">
        <f>$D22*(Q10/$C10)*Q16</f>
        <v>2.9662080620640223</v>
      </c>
      <c r="S22" s="44" t="s">
        <v>58</v>
      </c>
    </row>
    <row r="23" spans="1:19" ht="15">
      <c r="A23" s="30"/>
      <c r="B23" s="46" t="s">
        <v>56</v>
      </c>
      <c r="C23" s="112">
        <v>0.6</v>
      </c>
      <c r="D23" s="113"/>
      <c r="E23" s="112">
        <f>$C23</f>
        <v>0.6</v>
      </c>
      <c r="F23" s="114">
        <v>0</v>
      </c>
      <c r="G23" s="112">
        <f>$C23</f>
        <v>0.6</v>
      </c>
      <c r="H23" s="114">
        <v>0</v>
      </c>
      <c r="I23" s="55">
        <f>$C23</f>
        <v>0.6</v>
      </c>
      <c r="J23" s="57">
        <v>0</v>
      </c>
      <c r="K23" s="55">
        <f>$C23</f>
        <v>0.6</v>
      </c>
      <c r="L23" s="57">
        <v>0</v>
      </c>
      <c r="M23" s="55">
        <f>$C23</f>
        <v>0.6</v>
      </c>
      <c r="N23" s="57">
        <v>0</v>
      </c>
      <c r="O23" s="55">
        <f>$C23</f>
        <v>0.6</v>
      </c>
      <c r="P23" s="57">
        <v>0</v>
      </c>
      <c r="Q23" s="55">
        <f>$C23</f>
        <v>0.6</v>
      </c>
      <c r="R23" s="57">
        <v>0</v>
      </c>
      <c r="S23" s="44" t="s">
        <v>5</v>
      </c>
    </row>
    <row r="24" spans="1:26" ht="15">
      <c r="A24" s="30"/>
      <c r="B24" s="46" t="s">
        <v>27</v>
      </c>
      <c r="C24" s="115">
        <f>C10*V17</f>
        <v>0.24</v>
      </c>
      <c r="D24" s="116">
        <f>C10*V19</f>
        <v>0.4799999999999999</v>
      </c>
      <c r="E24" s="117">
        <v>0.55</v>
      </c>
      <c r="F24" s="113">
        <v>0.16</v>
      </c>
      <c r="G24" s="118">
        <f>$C24*G10/$C10</f>
        <v>0.1733333333333333</v>
      </c>
      <c r="H24" s="116">
        <f>$D24*(G10/$C10)*G17</f>
        <v>0.5339883330742714</v>
      </c>
      <c r="I24" s="85">
        <f>$C24*I10/$C10</f>
        <v>0.1733333333333333</v>
      </c>
      <c r="J24" s="86">
        <f>$D24*(I10/$C10)*I17</f>
        <v>0.40761244401183677</v>
      </c>
      <c r="K24" s="85">
        <f>$C24*K10/$C10</f>
        <v>0.1733333333333333</v>
      </c>
      <c r="L24" s="86">
        <f>$D24*(K10/$C10)*K17</f>
        <v>0.40761244401183677</v>
      </c>
      <c r="M24" s="85">
        <f>$C24*M10/$C10</f>
        <v>0.16</v>
      </c>
      <c r="N24" s="86">
        <f>$D24*(M10/$C10)*M17</f>
        <v>0.2798737578020904</v>
      </c>
      <c r="O24" s="85">
        <f>$C24*O10/$C10</f>
        <v>0.16</v>
      </c>
      <c r="P24" s="86">
        <f>$D24*(O10/$C10)*O17</f>
        <v>0.27259005002201414</v>
      </c>
      <c r="Q24" s="85">
        <f>$C24*Q10/$C10</f>
        <v>0.16</v>
      </c>
      <c r="R24" s="86">
        <f>$D24*(Q10/$C10)*Q17</f>
        <v>0.27259005002201414</v>
      </c>
      <c r="S24" s="44" t="s">
        <v>71</v>
      </c>
      <c r="Z24" s="84"/>
    </row>
    <row r="25" spans="1:25" ht="15">
      <c r="A25" s="30"/>
      <c r="B25" s="59" t="s">
        <v>72</v>
      </c>
      <c r="C25" s="112">
        <v>0.01</v>
      </c>
      <c r="D25" s="113">
        <v>0.27</v>
      </c>
      <c r="E25" s="117">
        <f>$C25*E10/$C10</f>
        <v>0.007222222222222221</v>
      </c>
      <c r="F25" s="113">
        <f>$D25*E19*(E10/$C10)</f>
        <v>0.18462765957446808</v>
      </c>
      <c r="G25" s="117">
        <f>$C25*G10/$C10</f>
        <v>0.007222222222222221</v>
      </c>
      <c r="H25" s="113">
        <f>$D25*G19*(G10/$C10)</f>
        <v>0.18462765957446808</v>
      </c>
      <c r="I25" s="58">
        <f>$C25*I10/$C10</f>
        <v>0.007222222222222221</v>
      </c>
      <c r="J25" s="56">
        <f>$D25*I19*(I10/$C10)</f>
        <v>0.11839982544992923</v>
      </c>
      <c r="K25" s="58">
        <f>$C25*K10/$C10</f>
        <v>0.007222222222222221</v>
      </c>
      <c r="L25" s="56">
        <f>$D25*K19*(K10/$C10)</f>
        <v>0.11839982544992923</v>
      </c>
      <c r="M25" s="58">
        <f>$C25*M10/$C10</f>
        <v>0.006666666666666667</v>
      </c>
      <c r="N25" s="56">
        <f>$D25*M19*(M10/$C10)</f>
        <v>0.16393821985374815</v>
      </c>
      <c r="O25" s="58">
        <f>$C25*O10/$C10</f>
        <v>0.006666666666666667</v>
      </c>
      <c r="P25" s="56">
        <f>$D25*O19*(O10/$C10)</f>
        <v>0.16393821985374815</v>
      </c>
      <c r="Q25" s="58">
        <f>$C25*Q10/$C10</f>
        <v>0.006666666666666667</v>
      </c>
      <c r="R25" s="56">
        <f>$D25*Q19*(Q10/$C10)</f>
        <v>0.16393821985374815</v>
      </c>
      <c r="S25" s="44" t="s">
        <v>143</v>
      </c>
      <c r="W25" s="83"/>
      <c r="X25" s="83"/>
      <c r="Y25" s="83"/>
    </row>
    <row r="26" spans="1:19" ht="15">
      <c r="A26" s="30"/>
      <c r="B26" s="46" t="s">
        <v>144</v>
      </c>
      <c r="C26" s="112">
        <v>0.14</v>
      </c>
      <c r="D26" s="113">
        <v>0.02</v>
      </c>
      <c r="E26" s="117">
        <f>$C26</f>
        <v>0.14</v>
      </c>
      <c r="F26" s="114">
        <f>$D26*E18</f>
        <v>0.019701191489361704</v>
      </c>
      <c r="G26" s="117">
        <f>$C26</f>
        <v>0.14</v>
      </c>
      <c r="H26" s="114">
        <f>$D26*G18</f>
        <v>0.019701191489361704</v>
      </c>
      <c r="I26" s="58">
        <f>$C26</f>
        <v>0.14</v>
      </c>
      <c r="J26" s="57">
        <f>$D26*I18*(I10/$C10)</f>
        <v>0.00670302175354095</v>
      </c>
      <c r="K26" s="58">
        <f>$C26</f>
        <v>0.14</v>
      </c>
      <c r="L26" s="57">
        <f>$D26*K18*(K10/$C10)</f>
        <v>0.00670302175354095</v>
      </c>
      <c r="M26" s="58">
        <f>$C26</f>
        <v>0.14</v>
      </c>
      <c r="N26" s="57">
        <f>$D26*M18*(M10/$C10)</f>
        <v>0.013921660565046588</v>
      </c>
      <c r="O26" s="58">
        <f>$C26</f>
        <v>0.14</v>
      </c>
      <c r="P26" s="57">
        <f>$D26*O18*(O10/$C10)</f>
        <v>0.013921660565046588</v>
      </c>
      <c r="Q26" s="58">
        <f>$C26</f>
        <v>0.14</v>
      </c>
      <c r="R26" s="57">
        <f>$D26*Q18*(Q10/$C10)</f>
        <v>0.013921660565046588</v>
      </c>
      <c r="S26" s="44" t="s">
        <v>139</v>
      </c>
    </row>
    <row r="27" spans="1:19" ht="15">
      <c r="A27" s="30"/>
      <c r="B27" s="46" t="s">
        <v>140</v>
      </c>
      <c r="C27" s="112"/>
      <c r="D27" s="113">
        <v>0.24</v>
      </c>
      <c r="E27" s="117"/>
      <c r="F27" s="114">
        <f>$D27*(E10/$C10)*E16</f>
        <v>0.36192858383103704</v>
      </c>
      <c r="G27" s="117"/>
      <c r="H27" s="114">
        <f>$D27*(G10/$C10)*G16</f>
        <v>0.36192858383103704</v>
      </c>
      <c r="I27" s="58"/>
      <c r="J27" s="57">
        <f>$D27*(I10/$C10)*I16</f>
        <v>0.38872243888484537</v>
      </c>
      <c r="K27" s="58"/>
      <c r="L27" s="57">
        <f>$D27*(K10/$C10)*K16</f>
        <v>0.38872243888484537</v>
      </c>
      <c r="M27" s="58"/>
      <c r="N27" s="57">
        <f>$D27*(M10/$C10)*M16</f>
        <v>0.1497758380017441</v>
      </c>
      <c r="O27" s="58"/>
      <c r="P27" s="57">
        <f>$D27*(O10/$C10)*O16</f>
        <v>0.14381614846371016</v>
      </c>
      <c r="Q27" s="58"/>
      <c r="R27" s="57">
        <f>$D27*(Q10/$C10)*Q16</f>
        <v>0.14381614846371016</v>
      </c>
      <c r="S27" s="44" t="s">
        <v>58</v>
      </c>
    </row>
    <row r="28" spans="1:19" ht="15">
      <c r="A28" s="30"/>
      <c r="B28" s="46" t="s">
        <v>141</v>
      </c>
      <c r="C28" s="112">
        <f>0.11/3</f>
        <v>0.03666666666666667</v>
      </c>
      <c r="D28" s="113"/>
      <c r="E28" s="117">
        <f>(1.7/2)/3</f>
        <v>0.2833333333333333</v>
      </c>
      <c r="F28" s="114">
        <f>E28</f>
        <v>0.2833333333333333</v>
      </c>
      <c r="G28" s="117">
        <f>(1.7/2)/3</f>
        <v>0.2833333333333333</v>
      </c>
      <c r="H28" s="114">
        <f>G28</f>
        <v>0.2833333333333333</v>
      </c>
      <c r="I28" s="58">
        <f>(1.7/2)/3</f>
        <v>0.2833333333333333</v>
      </c>
      <c r="J28" s="57">
        <f>I28</f>
        <v>0.2833333333333333</v>
      </c>
      <c r="K28" s="58">
        <f>(1.7/2)/3</f>
        <v>0.2833333333333333</v>
      </c>
      <c r="L28" s="57">
        <f>K28</f>
        <v>0.2833333333333333</v>
      </c>
      <c r="M28" s="58">
        <f>(1.7/2)*2</f>
        <v>1.7</v>
      </c>
      <c r="N28" s="57">
        <f>M28</f>
        <v>1.7</v>
      </c>
      <c r="O28" s="58">
        <f>(1.7/2)*0.67</f>
        <v>0.5695</v>
      </c>
      <c r="P28" s="57">
        <f>O28</f>
        <v>0.5695</v>
      </c>
      <c r="Q28" s="58">
        <f>(1.7/2)*0.67</f>
        <v>0.5695</v>
      </c>
      <c r="R28" s="57">
        <f>Q28</f>
        <v>0.5695</v>
      </c>
      <c r="S28" s="44" t="s">
        <v>192</v>
      </c>
    </row>
    <row r="29" spans="1:19" ht="15">
      <c r="A29" s="30"/>
      <c r="B29" s="46" t="s">
        <v>142</v>
      </c>
      <c r="C29" s="112"/>
      <c r="D29" s="113">
        <v>1.68</v>
      </c>
      <c r="E29" s="117"/>
      <c r="F29" s="114">
        <f>$D29*(E10/$C10)*E18</f>
        <v>1.1952056170212766</v>
      </c>
      <c r="G29" s="117"/>
      <c r="H29" s="114">
        <f>$D29*(G10/$C10)*G18</f>
        <v>1.1952056170212766</v>
      </c>
      <c r="I29" s="58"/>
      <c r="J29" s="57">
        <f>$D29*(I10/$C10)*I18</f>
        <v>0.5630538272974398</v>
      </c>
      <c r="K29" s="58"/>
      <c r="L29" s="57">
        <f>$D29*(K10/$C10)*K18</f>
        <v>0.5630538272974398</v>
      </c>
      <c r="M29" s="58"/>
      <c r="N29" s="57">
        <f>$D29*(M10/$C10)*M18</f>
        <v>1.1694194874639134</v>
      </c>
      <c r="O29" s="58"/>
      <c r="P29" s="57">
        <f>$D29*(O10/$C10)*O18</f>
        <v>1.1694194874639134</v>
      </c>
      <c r="Q29" s="58"/>
      <c r="R29" s="57">
        <f>$D29*(Q10/$C10)*Q18</f>
        <v>1.1694194874639134</v>
      </c>
      <c r="S29" s="44" t="s">
        <v>0</v>
      </c>
    </row>
    <row r="30" spans="1:19" ht="15">
      <c r="A30" s="30"/>
      <c r="B30" s="46" t="s">
        <v>1</v>
      </c>
      <c r="C30" s="112">
        <v>0.05</v>
      </c>
      <c r="D30" s="113"/>
      <c r="E30" s="112">
        <f>$C30</f>
        <v>0.05</v>
      </c>
      <c r="F30" s="114"/>
      <c r="G30" s="112">
        <f>$C30</f>
        <v>0.05</v>
      </c>
      <c r="H30" s="114"/>
      <c r="I30" s="55">
        <f>$C30</f>
        <v>0.05</v>
      </c>
      <c r="J30" s="57"/>
      <c r="K30" s="55">
        <f>$C30</f>
        <v>0.05</v>
      </c>
      <c r="L30" s="57"/>
      <c r="M30" s="55">
        <f>$C30</f>
        <v>0.05</v>
      </c>
      <c r="N30" s="57"/>
      <c r="O30" s="55">
        <f>$C30</f>
        <v>0.05</v>
      </c>
      <c r="P30" s="57"/>
      <c r="Q30" s="55">
        <f>$C30</f>
        <v>0.05</v>
      </c>
      <c r="R30" s="57"/>
      <c r="S30" s="44" t="s">
        <v>4</v>
      </c>
    </row>
    <row r="31" spans="1:19" ht="15">
      <c r="A31" s="30"/>
      <c r="B31" s="46" t="s">
        <v>46</v>
      </c>
      <c r="C31" s="112">
        <v>0.07</v>
      </c>
      <c r="D31" s="113"/>
      <c r="E31" s="112">
        <f>$C31</f>
        <v>0.07</v>
      </c>
      <c r="F31" s="114"/>
      <c r="G31" s="112">
        <f>$C31</f>
        <v>0.07</v>
      </c>
      <c r="H31" s="114"/>
      <c r="I31" s="55">
        <f>$C31</f>
        <v>0.07</v>
      </c>
      <c r="J31" s="57"/>
      <c r="K31" s="55">
        <f>$C31</f>
        <v>0.07</v>
      </c>
      <c r="L31" s="57"/>
      <c r="M31" s="55">
        <f>$C31</f>
        <v>0.07</v>
      </c>
      <c r="N31" s="57"/>
      <c r="O31" s="55">
        <f>$C31</f>
        <v>0.07</v>
      </c>
      <c r="P31" s="57"/>
      <c r="Q31" s="55">
        <f>$C31</f>
        <v>0.07</v>
      </c>
      <c r="R31" s="57"/>
      <c r="S31" s="44" t="s">
        <v>4</v>
      </c>
    </row>
    <row r="32" spans="1:20" ht="15">
      <c r="A32" s="30"/>
      <c r="B32" s="60" t="s">
        <v>47</v>
      </c>
      <c r="C32" s="119"/>
      <c r="D32" s="120">
        <f>D22+D27</f>
        <v>5.19</v>
      </c>
      <c r="E32" s="119"/>
      <c r="F32" s="120">
        <f>F22+F27</f>
        <v>7.826705625346176</v>
      </c>
      <c r="G32" s="119"/>
      <c r="H32" s="120">
        <f>H22+H27</f>
        <v>7.826705625346176</v>
      </c>
      <c r="I32" s="61"/>
      <c r="J32" s="62">
        <f>J22+J27</f>
        <v>8.406122740884783</v>
      </c>
      <c r="K32" s="61"/>
      <c r="L32" s="62">
        <f>L22+L27</f>
        <v>8.406122740884783</v>
      </c>
      <c r="M32" s="61"/>
      <c r="N32" s="62">
        <f>N22+N27</f>
        <v>3.2389024967877167</v>
      </c>
      <c r="O32" s="61"/>
      <c r="P32" s="62">
        <f>P22+P27</f>
        <v>3.1100242105277323</v>
      </c>
      <c r="Q32" s="61"/>
      <c r="R32" s="62">
        <f>R22+R27</f>
        <v>3.1100242105277323</v>
      </c>
      <c r="S32" s="44"/>
      <c r="T32" s="35"/>
    </row>
    <row r="33" spans="1:20" ht="15">
      <c r="A33" s="30"/>
      <c r="B33" s="47" t="s">
        <v>48</v>
      </c>
      <c r="C33" s="119"/>
      <c r="D33" s="121">
        <f>D24</f>
        <v>0.4799999999999999</v>
      </c>
      <c r="E33" s="119"/>
      <c r="F33" s="120">
        <f>F24</f>
        <v>0.16</v>
      </c>
      <c r="G33" s="119"/>
      <c r="H33" s="120">
        <f>H24</f>
        <v>0.5339883330742714</v>
      </c>
      <c r="I33" s="61"/>
      <c r="J33" s="62">
        <f>J24</f>
        <v>0.40761244401183677</v>
      </c>
      <c r="K33" s="61"/>
      <c r="L33" s="62">
        <f>L24</f>
        <v>0.40761244401183677</v>
      </c>
      <c r="M33" s="61"/>
      <c r="N33" s="62">
        <f>N24</f>
        <v>0.2798737578020904</v>
      </c>
      <c r="O33" s="61"/>
      <c r="P33" s="62">
        <f>P24</f>
        <v>0.27259005002201414</v>
      </c>
      <c r="Q33" s="61"/>
      <c r="R33" s="62">
        <f>R24</f>
        <v>0.27259005002201414</v>
      </c>
      <c r="S33" s="44"/>
      <c r="T33" s="35"/>
    </row>
    <row r="34" spans="1:20" ht="15">
      <c r="A34" s="30"/>
      <c r="B34" s="47" t="s">
        <v>49</v>
      </c>
      <c r="C34" s="119">
        <f>SUM(C22:C31)</f>
        <v>1.1466666666666667</v>
      </c>
      <c r="D34" s="122">
        <f>SUM(D22:D31)-D32-D33</f>
        <v>1.9699999999999984</v>
      </c>
      <c r="E34" s="119">
        <f>SUM(E22:E31)</f>
        <v>1.7005555555555554</v>
      </c>
      <c r="F34" s="122">
        <f>SUM(F22:F31)-F32-F33</f>
        <v>1.6828678014184402</v>
      </c>
      <c r="G34" s="119">
        <f>SUM(G22:G31)</f>
        <v>1.323888888888889</v>
      </c>
      <c r="H34" s="122">
        <f>SUM(H22:H31)-H32-H33</f>
        <v>1.6828678014184415</v>
      </c>
      <c r="I34" s="61">
        <f>SUM(I22:I31)</f>
        <v>1.323888888888889</v>
      </c>
      <c r="J34" s="63">
        <f>SUM(J22:J31)-J32-J33</f>
        <v>0.9714900078342434</v>
      </c>
      <c r="K34" s="61">
        <f>SUM(K22:K31)</f>
        <v>1.323888888888889</v>
      </c>
      <c r="L34" s="63">
        <f>SUM(L22:L31)-L32-L33</f>
        <v>0.9714900078342434</v>
      </c>
      <c r="M34" s="61">
        <f>SUM(M22:M31)</f>
        <v>2.726666666666666</v>
      </c>
      <c r="N34" s="63">
        <f>SUM(N22:N31)-N32-N33</f>
        <v>3.047279367882708</v>
      </c>
      <c r="O34" s="61">
        <f>SUM(O22:O31)</f>
        <v>1.596166666666667</v>
      </c>
      <c r="P34" s="63">
        <f>SUM(P22:P31)-P32-P33</f>
        <v>1.9167793678827074</v>
      </c>
      <c r="Q34" s="61">
        <f>SUM(Q22:Q31)</f>
        <v>1.596166666666667</v>
      </c>
      <c r="R34" s="63">
        <f>SUM(R22:R31)-R32-R33</f>
        <v>1.9167793678827074</v>
      </c>
      <c r="S34" s="44"/>
      <c r="T34" s="35"/>
    </row>
    <row r="35" spans="1:20" ht="15">
      <c r="A35" s="30"/>
      <c r="B35" s="47" t="s">
        <v>50</v>
      </c>
      <c r="C35" s="119">
        <f aca="true" t="shared" si="0" ref="C35:H35">SUM(C22:C31)</f>
        <v>1.1466666666666667</v>
      </c>
      <c r="D35" s="122">
        <f t="shared" si="0"/>
        <v>7.639999999999999</v>
      </c>
      <c r="E35" s="122">
        <f t="shared" si="0"/>
        <v>1.7005555555555554</v>
      </c>
      <c r="F35" s="122">
        <f t="shared" si="0"/>
        <v>9.669573426764616</v>
      </c>
      <c r="G35" s="122">
        <f t="shared" si="0"/>
        <v>1.323888888888889</v>
      </c>
      <c r="H35" s="122">
        <f t="shared" si="0"/>
        <v>10.043561759838889</v>
      </c>
      <c r="I35" s="63">
        <f aca="true" t="shared" si="1" ref="I35:R35">SUM(I22:I31)</f>
        <v>1.323888888888889</v>
      </c>
      <c r="J35" s="63">
        <f t="shared" si="1"/>
        <v>9.785225192730863</v>
      </c>
      <c r="K35" s="63">
        <f t="shared" si="1"/>
        <v>1.323888888888889</v>
      </c>
      <c r="L35" s="63">
        <f t="shared" si="1"/>
        <v>9.785225192730863</v>
      </c>
      <c r="M35" s="63">
        <f t="shared" si="1"/>
        <v>2.726666666666666</v>
      </c>
      <c r="N35" s="63">
        <f t="shared" si="1"/>
        <v>6.566055622472515</v>
      </c>
      <c r="O35" s="97">
        <f t="shared" si="1"/>
        <v>1.596166666666667</v>
      </c>
      <c r="P35" s="97">
        <f t="shared" si="1"/>
        <v>5.299393628432454</v>
      </c>
      <c r="Q35" s="63">
        <f t="shared" si="1"/>
        <v>1.596166666666667</v>
      </c>
      <c r="R35" s="97">
        <f t="shared" si="1"/>
        <v>5.299393628432454</v>
      </c>
      <c r="S35" s="106" t="s">
        <v>235</v>
      </c>
      <c r="T35" s="44" t="s">
        <v>59</v>
      </c>
    </row>
    <row r="36" spans="1:21" ht="15.75" thickBot="1">
      <c r="A36" s="30"/>
      <c r="B36" s="64" t="s">
        <v>51</v>
      </c>
      <c r="C36" s="168">
        <f>SUM(C32:D34)</f>
        <v>8.786666666666665</v>
      </c>
      <c r="D36" s="169"/>
      <c r="E36" s="168">
        <f>SUM(E32:F34)</f>
        <v>11.370128982320173</v>
      </c>
      <c r="F36" s="169"/>
      <c r="G36" s="168">
        <f>SUM(G32:H34)</f>
        <v>11.367450648727777</v>
      </c>
      <c r="H36" s="169"/>
      <c r="I36" s="138">
        <f>SUM(I32:J34)</f>
        <v>11.109114081619753</v>
      </c>
      <c r="J36" s="139"/>
      <c r="K36" s="138">
        <f>SUM(K32:L34)</f>
        <v>11.109114081619753</v>
      </c>
      <c r="L36" s="139"/>
      <c r="M36" s="138">
        <f>SUM(M32:N34)</f>
        <v>9.292722289139181</v>
      </c>
      <c r="N36" s="139"/>
      <c r="O36" s="154">
        <f>SUM(O32:P34)</f>
        <v>6.895560295099121</v>
      </c>
      <c r="P36" s="155"/>
      <c r="Q36" s="154">
        <f>SUM(Q32:R34)</f>
        <v>6.895560295099121</v>
      </c>
      <c r="R36" s="155"/>
      <c r="S36" s="81">
        <f>I36*3</f>
        <v>33.32734224485926</v>
      </c>
      <c r="T36" s="82">
        <f>(J22+J29)/I10</f>
        <v>0.9900523995343127</v>
      </c>
      <c r="U36" s="42">
        <f>S36/26</f>
        <v>1.28182085557151</v>
      </c>
    </row>
    <row r="37" spans="1:19" ht="15.75" thickBot="1">
      <c r="A37" s="30"/>
      <c r="B37" s="51"/>
      <c r="C37" s="181" t="s">
        <v>33</v>
      </c>
      <c r="D37" s="170"/>
      <c r="E37" s="170" t="s">
        <v>33</v>
      </c>
      <c r="F37" s="170"/>
      <c r="G37" s="170" t="s">
        <v>33</v>
      </c>
      <c r="H37" s="170"/>
      <c r="I37" s="140" t="s">
        <v>33</v>
      </c>
      <c r="J37" s="141"/>
      <c r="K37" s="140" t="s">
        <v>33</v>
      </c>
      <c r="L37" s="141"/>
      <c r="M37" s="140" t="s">
        <v>33</v>
      </c>
      <c r="N37" s="141"/>
      <c r="O37" s="140" t="s">
        <v>33</v>
      </c>
      <c r="P37" s="141"/>
      <c r="Q37" s="140" t="s">
        <v>33</v>
      </c>
      <c r="R37" s="141"/>
      <c r="S37" s="44"/>
    </row>
    <row r="38" spans="1:19" ht="15">
      <c r="A38" s="30"/>
      <c r="B38" s="65" t="s">
        <v>34</v>
      </c>
      <c r="C38" s="112">
        <v>1.95</v>
      </c>
      <c r="D38" s="113"/>
      <c r="E38" s="112">
        <f>$C38*(E10/$C10)</f>
        <v>1.4083333333333332</v>
      </c>
      <c r="F38" s="114"/>
      <c r="G38" s="112">
        <f>$C38*(G10/$C10)</f>
        <v>1.4083333333333332</v>
      </c>
      <c r="H38" s="114"/>
      <c r="I38" s="55">
        <f>$C38*(I10/$C10)</f>
        <v>1.4083333333333332</v>
      </c>
      <c r="J38" s="57"/>
      <c r="K38" s="55">
        <f>$C38*(K10/$C10)</f>
        <v>1.4083333333333332</v>
      </c>
      <c r="L38" s="57"/>
      <c r="M38" s="55">
        <f>$C38*(M10/$C10)</f>
        <v>1.2999999999999998</v>
      </c>
      <c r="N38" s="57"/>
      <c r="O38" s="55">
        <f>$C38*(O10/$C10)</f>
        <v>1.2999999999999998</v>
      </c>
      <c r="P38" s="57"/>
      <c r="Q38" s="55">
        <f>$C38*(Q10/$C10)</f>
        <v>1.2999999999999998</v>
      </c>
      <c r="R38" s="57"/>
      <c r="S38" s="44" t="s">
        <v>35</v>
      </c>
    </row>
    <row r="39" spans="1:19" ht="15">
      <c r="A39" s="30"/>
      <c r="B39" s="65" t="s">
        <v>56</v>
      </c>
      <c r="C39" s="112">
        <v>2.4</v>
      </c>
      <c r="D39" s="113"/>
      <c r="E39" s="117">
        <f>$C39</f>
        <v>2.4</v>
      </c>
      <c r="F39" s="114"/>
      <c r="G39" s="117">
        <f>$C39</f>
        <v>2.4</v>
      </c>
      <c r="H39" s="114"/>
      <c r="I39" s="58">
        <f>$C39</f>
        <v>2.4</v>
      </c>
      <c r="J39" s="57"/>
      <c r="K39" s="58">
        <f>$C39</f>
        <v>2.4</v>
      </c>
      <c r="L39" s="57"/>
      <c r="M39" s="58">
        <f>$C39</f>
        <v>2.4</v>
      </c>
      <c r="N39" s="57"/>
      <c r="O39" s="58">
        <f>$C39</f>
        <v>2.4</v>
      </c>
      <c r="P39" s="57"/>
      <c r="Q39" s="58">
        <f>$C39</f>
        <v>2.4</v>
      </c>
      <c r="R39" s="57"/>
      <c r="S39" s="44" t="s">
        <v>4</v>
      </c>
    </row>
    <row r="40" spans="1:19" ht="15">
      <c r="A40" s="30"/>
      <c r="B40" s="65" t="s">
        <v>27</v>
      </c>
      <c r="C40" s="115">
        <f>C10*W17</f>
        <v>2.4000000000000004</v>
      </c>
      <c r="D40" s="116">
        <f>C10*W19</f>
        <v>3.5999999999999996</v>
      </c>
      <c r="E40" s="117">
        <v>1.48</v>
      </c>
      <c r="F40" s="114">
        <v>1.32</v>
      </c>
      <c r="G40" s="118">
        <f>$C40*(G10/$C10)</f>
        <v>1.7333333333333336</v>
      </c>
      <c r="H40" s="123">
        <f>$D40*(G10/$C10)*G17</f>
        <v>4.004912498057036</v>
      </c>
      <c r="I40" s="85">
        <f>$C40*(I10/$C10)</f>
        <v>1.7333333333333336</v>
      </c>
      <c r="J40" s="87">
        <f>$D40*(I10/$C10)*I17</f>
        <v>3.057093330088776</v>
      </c>
      <c r="K40" s="85">
        <f>$C40*(K10/$C10)</f>
        <v>1.7333333333333336</v>
      </c>
      <c r="L40" s="87">
        <f>$D40*(K10/$C10)*K17</f>
        <v>3.057093330088776</v>
      </c>
      <c r="M40" s="85">
        <f>$C40*(M10/$C10)</f>
        <v>1.6</v>
      </c>
      <c r="N40" s="87">
        <f>$D40*(M10/$C10)*M17</f>
        <v>2.099053183515678</v>
      </c>
      <c r="O40" s="85">
        <f>$C40*(O10/$C10)</f>
        <v>1.6</v>
      </c>
      <c r="P40" s="87">
        <f>$D40*(O10/$C10)*O17</f>
        <v>2.0444253751651056</v>
      </c>
      <c r="Q40" s="85">
        <f>$C40*(Q10/$C10)</f>
        <v>1.6</v>
      </c>
      <c r="R40" s="87">
        <f>$D40*(Q10/$C10)*Q17</f>
        <v>2.0444253751651056</v>
      </c>
      <c r="S40" s="44" t="s">
        <v>71</v>
      </c>
    </row>
    <row r="41" spans="1:19" ht="15">
      <c r="A41" s="30"/>
      <c r="B41" s="66" t="s">
        <v>72</v>
      </c>
      <c r="C41" s="112">
        <v>0.4</v>
      </c>
      <c r="D41" s="113">
        <v>2.66</v>
      </c>
      <c r="E41" s="117">
        <f>$C41*(E10/$C10)</f>
        <v>0.2888888888888889</v>
      </c>
      <c r="F41" s="114">
        <f>$D41*E19*(E10/$C10)</f>
        <v>1.8189243498817966</v>
      </c>
      <c r="G41" s="117">
        <f>$C41*(G10/$C10)</f>
        <v>0.2888888888888889</v>
      </c>
      <c r="H41" s="114">
        <f>$D41*G19*(G10/$C10)</f>
        <v>1.8189243498817966</v>
      </c>
      <c r="I41" s="58">
        <f>$C41*(I10/$C10)</f>
        <v>0.2888888888888889</v>
      </c>
      <c r="J41" s="57">
        <f>$D41*I19*(I10/$C10)</f>
        <v>1.1664575396178214</v>
      </c>
      <c r="K41" s="58">
        <f>$C41*(K10/$C10)</f>
        <v>0.2888888888888889</v>
      </c>
      <c r="L41" s="57">
        <f>$D41*K19*(K10/$C10)</f>
        <v>1.1664575396178214</v>
      </c>
      <c r="M41" s="58">
        <f>$C41*(M10/$C10)</f>
        <v>0.26666666666666666</v>
      </c>
      <c r="N41" s="57">
        <f>$D41*M19*(M10/$C10)</f>
        <v>1.6150950548554448</v>
      </c>
      <c r="O41" s="58">
        <f>$C41*(O10/$C10)</f>
        <v>0.26666666666666666</v>
      </c>
      <c r="P41" s="57">
        <f>$D41*O19*(O10/$C10)</f>
        <v>1.6150950548554448</v>
      </c>
      <c r="Q41" s="58">
        <f>$C41*(Q10/$C10)</f>
        <v>0.26666666666666666</v>
      </c>
      <c r="R41" s="57">
        <f>$D41*Q19*(Q10/$C10)</f>
        <v>1.6150950548554448</v>
      </c>
      <c r="S41" s="44" t="s">
        <v>143</v>
      </c>
    </row>
    <row r="42" spans="1:19" ht="15">
      <c r="A42" s="30"/>
      <c r="B42" s="65" t="s">
        <v>144</v>
      </c>
      <c r="C42" s="112">
        <v>3.13</v>
      </c>
      <c r="D42" s="113">
        <v>0.77</v>
      </c>
      <c r="E42" s="117">
        <f>$C42</f>
        <v>3.13</v>
      </c>
      <c r="F42" s="114">
        <f>$D42*E18</f>
        <v>0.7584958723404256</v>
      </c>
      <c r="G42" s="117">
        <f>$C42</f>
        <v>3.13</v>
      </c>
      <c r="H42" s="114">
        <f>$D42*G18</f>
        <v>0.7584958723404256</v>
      </c>
      <c r="I42" s="58">
        <f>$C42</f>
        <v>3.13</v>
      </c>
      <c r="J42" s="57">
        <f>$D42*I18</f>
        <v>0.3573226211695291</v>
      </c>
      <c r="K42" s="58">
        <f>$C42</f>
        <v>3.13</v>
      </c>
      <c r="L42" s="57">
        <f>$D42*K18</f>
        <v>0.3573226211695291</v>
      </c>
      <c r="M42" s="58">
        <f>$C42</f>
        <v>3.13</v>
      </c>
      <c r="N42" s="57">
        <f>$D42*M18</f>
        <v>0.8039758976314405</v>
      </c>
      <c r="O42" s="58">
        <f>$C42</f>
        <v>3.13</v>
      </c>
      <c r="P42" s="57">
        <f>$D42*O18</f>
        <v>0.8039758976314405</v>
      </c>
      <c r="Q42" s="58">
        <f>$C42</f>
        <v>3.13</v>
      </c>
      <c r="R42" s="57">
        <f>$D42*Q18</f>
        <v>0.8039758976314405</v>
      </c>
      <c r="S42" s="44" t="s">
        <v>139</v>
      </c>
    </row>
    <row r="43" spans="1:19" ht="15">
      <c r="A43" s="30"/>
      <c r="B43" s="65" t="s">
        <v>141</v>
      </c>
      <c r="C43" s="112"/>
      <c r="D43" s="113"/>
      <c r="E43" s="117">
        <f>(2.8/2)/3</f>
        <v>0.4666666666666666</v>
      </c>
      <c r="F43" s="114">
        <f>E43</f>
        <v>0.4666666666666666</v>
      </c>
      <c r="G43" s="117">
        <f>(2.8/2)/3</f>
        <v>0.4666666666666666</v>
      </c>
      <c r="H43" s="114">
        <f>G43</f>
        <v>0.4666666666666666</v>
      </c>
      <c r="I43" s="58">
        <f>(2.8/2)/3</f>
        <v>0.4666666666666666</v>
      </c>
      <c r="J43" s="57">
        <f>I43</f>
        <v>0.4666666666666666</v>
      </c>
      <c r="K43" s="58">
        <f>(2.8/2)/3</f>
        <v>0.4666666666666666</v>
      </c>
      <c r="L43" s="57">
        <f>K43</f>
        <v>0.4666666666666666</v>
      </c>
      <c r="M43" s="58">
        <f>(2.8/2)*2</f>
        <v>2.8</v>
      </c>
      <c r="N43" s="57">
        <f>M43</f>
        <v>2.8</v>
      </c>
      <c r="O43" s="58">
        <f>(2.8/2)*0.67</f>
        <v>0.938</v>
      </c>
      <c r="P43" s="57">
        <f>O43</f>
        <v>0.938</v>
      </c>
      <c r="Q43" s="58">
        <f>(2.8/2)*0.67</f>
        <v>0.938</v>
      </c>
      <c r="R43" s="57">
        <f>Q43</f>
        <v>0.938</v>
      </c>
      <c r="S43" s="44" t="s">
        <v>192</v>
      </c>
    </row>
    <row r="44" spans="1:19" ht="15">
      <c r="A44" s="30"/>
      <c r="B44" s="65" t="s">
        <v>36</v>
      </c>
      <c r="C44" s="124">
        <v>1.39</v>
      </c>
      <c r="D44" s="125">
        <v>0</v>
      </c>
      <c r="E44" s="126">
        <f>$C44</f>
        <v>1.39</v>
      </c>
      <c r="F44" s="125">
        <f>$D$44*(E10/$C$10)</f>
        <v>0</v>
      </c>
      <c r="G44" s="126">
        <f>$C44</f>
        <v>1.39</v>
      </c>
      <c r="H44" s="125">
        <f>$D$44*(G10/$C$10)</f>
        <v>0</v>
      </c>
      <c r="I44" s="67">
        <f>$C44</f>
        <v>1.39</v>
      </c>
      <c r="J44" s="68">
        <f>$D$44*(I10/$C$10)</f>
        <v>0</v>
      </c>
      <c r="K44" s="67">
        <f>$C44</f>
        <v>1.39</v>
      </c>
      <c r="L44" s="68">
        <f>$D$44*(K10/$C$10)</f>
        <v>0</v>
      </c>
      <c r="M44" s="67">
        <f>$C44</f>
        <v>1.39</v>
      </c>
      <c r="N44" s="68">
        <f>$D$44*(M10/$C$10)</f>
        <v>0</v>
      </c>
      <c r="O44" s="67">
        <f>$C44</f>
        <v>1.39</v>
      </c>
      <c r="P44" s="68">
        <f>$D$44*(O10/$C$10)</f>
        <v>0</v>
      </c>
      <c r="Q44" s="67">
        <f>$C44</f>
        <v>1.39</v>
      </c>
      <c r="R44" s="68">
        <f>$D$44*(Q10/$C$10)</f>
        <v>0</v>
      </c>
      <c r="S44" s="44" t="s">
        <v>5</v>
      </c>
    </row>
    <row r="45" spans="1:19" ht="15">
      <c r="A45" s="30"/>
      <c r="B45" s="69" t="s">
        <v>48</v>
      </c>
      <c r="C45" s="112"/>
      <c r="D45" s="127">
        <f>D40</f>
        <v>3.5999999999999996</v>
      </c>
      <c r="E45" s="112"/>
      <c r="F45" s="127">
        <f>F40</f>
        <v>1.32</v>
      </c>
      <c r="G45" s="112"/>
      <c r="H45" s="127">
        <f>H40</f>
        <v>4.004912498057036</v>
      </c>
      <c r="I45" s="55"/>
      <c r="J45" s="70">
        <f>J40</f>
        <v>3.057093330088776</v>
      </c>
      <c r="K45" s="55"/>
      <c r="L45" s="70">
        <f>L40</f>
        <v>3.057093330088776</v>
      </c>
      <c r="M45" s="55"/>
      <c r="N45" s="70">
        <f>N40</f>
        <v>2.099053183515678</v>
      </c>
      <c r="O45" s="55"/>
      <c r="P45" s="70">
        <f>P40</f>
        <v>2.0444253751651056</v>
      </c>
      <c r="Q45" s="55"/>
      <c r="R45" s="70">
        <f>R40</f>
        <v>2.0444253751651056</v>
      </c>
      <c r="S45" s="44"/>
    </row>
    <row r="46" spans="1:19" ht="15">
      <c r="A46" s="30"/>
      <c r="B46" s="71" t="s">
        <v>49</v>
      </c>
      <c r="C46" s="119">
        <f>SUM(C38:C44)</f>
        <v>11.670000000000002</v>
      </c>
      <c r="D46" s="120">
        <f>SUM(D38:D44)-D45</f>
        <v>3.4299999999999997</v>
      </c>
      <c r="E46" s="119">
        <f>SUM(E38:E44)</f>
        <v>10.563888888888888</v>
      </c>
      <c r="F46" s="120">
        <f>SUM(F38:F44)-F45</f>
        <v>3.044086888888889</v>
      </c>
      <c r="G46" s="119">
        <f>SUM(G38:G44)</f>
        <v>10.817222222222222</v>
      </c>
      <c r="H46" s="120">
        <f>SUM(H38:H44)-H45</f>
        <v>3.044086888888889</v>
      </c>
      <c r="I46" s="61">
        <f>SUM(I38:I44)</f>
        <v>10.817222222222222</v>
      </c>
      <c r="J46" s="62">
        <f>SUM(J38:J44)-J45</f>
        <v>1.9904468274540177</v>
      </c>
      <c r="K46" s="61">
        <f>SUM(K38:K44)</f>
        <v>10.817222222222222</v>
      </c>
      <c r="L46" s="62">
        <f>SUM(L38:L44)-L45</f>
        <v>1.9904468274540177</v>
      </c>
      <c r="M46" s="61">
        <f>SUM(M38:M44)</f>
        <v>12.886666666666667</v>
      </c>
      <c r="N46" s="62">
        <f>SUM(N38:N44)-N45</f>
        <v>5.219070952486885</v>
      </c>
      <c r="O46" s="61">
        <f>SUM(O38:O44)</f>
        <v>11.024666666666667</v>
      </c>
      <c r="P46" s="62">
        <f>SUM(P38:P44)-P45</f>
        <v>3.357070952486885</v>
      </c>
      <c r="Q46" s="61">
        <f>SUM(Q38:Q44)</f>
        <v>11.024666666666667</v>
      </c>
      <c r="R46" s="62">
        <f>SUM(R38:R44)-R45</f>
        <v>3.357070952486885</v>
      </c>
      <c r="S46" s="44"/>
    </row>
    <row r="47" spans="1:19" ht="15">
      <c r="A47" s="30"/>
      <c r="B47" s="47" t="s">
        <v>50</v>
      </c>
      <c r="C47" s="122">
        <f aca="true" t="shared" si="2" ref="C47:H47">SUM(C38:C44)</f>
        <v>11.670000000000002</v>
      </c>
      <c r="D47" s="122">
        <f t="shared" si="2"/>
        <v>7.029999999999999</v>
      </c>
      <c r="E47" s="122">
        <f t="shared" si="2"/>
        <v>10.563888888888888</v>
      </c>
      <c r="F47" s="122">
        <f t="shared" si="2"/>
        <v>4.364086888888889</v>
      </c>
      <c r="G47" s="122">
        <f t="shared" si="2"/>
        <v>10.817222222222222</v>
      </c>
      <c r="H47" s="122">
        <f t="shared" si="2"/>
        <v>7.048999386945924</v>
      </c>
      <c r="I47" s="63">
        <f aca="true" t="shared" si="3" ref="I47:R47">SUM(I38:I44)</f>
        <v>10.817222222222222</v>
      </c>
      <c r="J47" s="63">
        <f t="shared" si="3"/>
        <v>5.047540157542794</v>
      </c>
      <c r="K47" s="63">
        <f t="shared" si="3"/>
        <v>10.817222222222222</v>
      </c>
      <c r="L47" s="63">
        <f t="shared" si="3"/>
        <v>5.047540157542794</v>
      </c>
      <c r="M47" s="63">
        <f t="shared" si="3"/>
        <v>12.886666666666667</v>
      </c>
      <c r="N47" s="63">
        <f t="shared" si="3"/>
        <v>7.318124136002563</v>
      </c>
      <c r="O47" s="97">
        <f t="shared" si="3"/>
        <v>11.024666666666667</v>
      </c>
      <c r="P47" s="97">
        <f t="shared" si="3"/>
        <v>5.401496327651991</v>
      </c>
      <c r="Q47" s="63">
        <f t="shared" si="3"/>
        <v>11.024666666666667</v>
      </c>
      <c r="R47" s="97">
        <f t="shared" si="3"/>
        <v>5.401496327651991</v>
      </c>
      <c r="S47" s="106" t="s">
        <v>235</v>
      </c>
    </row>
    <row r="48" spans="1:19" ht="15.75" thickBot="1">
      <c r="A48" s="30"/>
      <c r="B48" s="72" t="s">
        <v>198</v>
      </c>
      <c r="C48" s="168">
        <f>SUM(C45:D46)</f>
        <v>18.700000000000003</v>
      </c>
      <c r="D48" s="169"/>
      <c r="E48" s="168">
        <f>SUM(E45:F46)</f>
        <v>14.927975777777778</v>
      </c>
      <c r="F48" s="169"/>
      <c r="G48" s="168">
        <f>SUM(G45:H46)</f>
        <v>17.866221609168147</v>
      </c>
      <c r="H48" s="169"/>
      <c r="I48" s="138">
        <f>SUM(I45:J46)</f>
        <v>15.864762379765015</v>
      </c>
      <c r="J48" s="139"/>
      <c r="K48" s="138">
        <f>SUM(K45:L46)</f>
        <v>15.864762379765015</v>
      </c>
      <c r="L48" s="139"/>
      <c r="M48" s="138">
        <f>SUM(M45:N46)</f>
        <v>20.20479080266923</v>
      </c>
      <c r="N48" s="139"/>
      <c r="O48" s="138">
        <f>SUM(O45:P46)</f>
        <v>16.42616299431866</v>
      </c>
      <c r="P48" s="139"/>
      <c r="Q48" s="138">
        <f>SUM(Q45:R46)</f>
        <v>16.42616299431866</v>
      </c>
      <c r="R48" s="139"/>
      <c r="S48" s="81">
        <f>I48*3</f>
        <v>47.59428713929505</v>
      </c>
    </row>
    <row r="49" spans="1:19" ht="15.75" thickBot="1">
      <c r="A49" s="30"/>
      <c r="B49" s="73"/>
      <c r="C49" s="181" t="s">
        <v>199</v>
      </c>
      <c r="D49" s="170"/>
      <c r="E49" s="170" t="s">
        <v>199</v>
      </c>
      <c r="F49" s="170"/>
      <c r="G49" s="170" t="s">
        <v>199</v>
      </c>
      <c r="H49" s="170"/>
      <c r="I49" s="140" t="s">
        <v>199</v>
      </c>
      <c r="J49" s="141"/>
      <c r="K49" s="140" t="s">
        <v>199</v>
      </c>
      <c r="L49" s="141"/>
      <c r="M49" s="140" t="s">
        <v>199</v>
      </c>
      <c r="N49" s="141"/>
      <c r="O49" s="140" t="s">
        <v>199</v>
      </c>
      <c r="P49" s="141"/>
      <c r="Q49" s="140" t="s">
        <v>199</v>
      </c>
      <c r="R49" s="141"/>
      <c r="S49" s="44"/>
    </row>
    <row r="50" spans="1:19" ht="15">
      <c r="A50" s="30"/>
      <c r="B50" s="46" t="s">
        <v>34</v>
      </c>
      <c r="C50" s="112">
        <v>44.99</v>
      </c>
      <c r="D50" s="113"/>
      <c r="E50" s="112">
        <f>$C50*(E10/$C10)</f>
        <v>32.49277777777778</v>
      </c>
      <c r="F50" s="114"/>
      <c r="G50" s="112">
        <f>$C50*(G10/$C10)</f>
        <v>32.49277777777778</v>
      </c>
      <c r="H50" s="114"/>
      <c r="I50" s="55">
        <f>$C50*(I10/$C10)</f>
        <v>32.49277777777778</v>
      </c>
      <c r="J50" s="57"/>
      <c r="K50" s="55">
        <f>$C50*(K10/$C10)</f>
        <v>32.49277777777778</v>
      </c>
      <c r="L50" s="57"/>
      <c r="M50" s="55">
        <f>$C50*(M10/$C10)</f>
        <v>29.993333333333332</v>
      </c>
      <c r="N50" s="57"/>
      <c r="O50" s="55">
        <f>$C50*(O10/$C10)</f>
        <v>29.993333333333332</v>
      </c>
      <c r="P50" s="57"/>
      <c r="Q50" s="55">
        <f>$C50*(Q10/$C10)</f>
        <v>29.993333333333332</v>
      </c>
      <c r="R50" s="57"/>
      <c r="S50" s="44" t="s">
        <v>35</v>
      </c>
    </row>
    <row r="51" spans="1:20" ht="15">
      <c r="A51" s="30"/>
      <c r="B51" s="46" t="s">
        <v>56</v>
      </c>
      <c r="C51" s="112">
        <v>6</v>
      </c>
      <c r="D51" s="113"/>
      <c r="E51" s="117">
        <v>6</v>
      </c>
      <c r="F51" s="114"/>
      <c r="G51" s="118">
        <f>3*$C51</f>
        <v>18</v>
      </c>
      <c r="H51" s="114"/>
      <c r="I51" s="85">
        <f>3*$C51</f>
        <v>18</v>
      </c>
      <c r="J51" s="57"/>
      <c r="K51" s="85">
        <f>3*$C51</f>
        <v>18</v>
      </c>
      <c r="L51" s="57"/>
      <c r="M51" s="85">
        <f>3*$C51</f>
        <v>18</v>
      </c>
      <c r="N51" s="57"/>
      <c r="O51" s="85">
        <f>3*$C51</f>
        <v>18</v>
      </c>
      <c r="P51" s="57"/>
      <c r="Q51" s="85">
        <f>3*$C51</f>
        <v>18</v>
      </c>
      <c r="R51" s="57"/>
      <c r="S51" s="44" t="s">
        <v>4</v>
      </c>
      <c r="T51" s="84" t="s">
        <v>97</v>
      </c>
    </row>
    <row r="52" spans="1:22" ht="15">
      <c r="A52" s="30"/>
      <c r="B52" s="46" t="s">
        <v>27</v>
      </c>
      <c r="C52" s="115">
        <f>C10*X17</f>
        <v>22.799999999999997</v>
      </c>
      <c r="D52" s="116">
        <f>C10*X19</f>
        <v>49.199999999999996</v>
      </c>
      <c r="E52" s="117">
        <v>15.51</v>
      </c>
      <c r="F52" s="114">
        <v>66.08</v>
      </c>
      <c r="G52" s="118">
        <f>$C52*(G10/$C10)</f>
        <v>16.466666666666665</v>
      </c>
      <c r="H52" s="123">
        <f>$D52*(G10/$C10)*G17</f>
        <v>54.73380414011283</v>
      </c>
      <c r="I52" s="85">
        <f>$C52*(I10/$C10)</f>
        <v>16.466666666666665</v>
      </c>
      <c r="J52" s="87">
        <f>$D52*(I10/$C10)*I17</f>
        <v>41.780275511213276</v>
      </c>
      <c r="K52" s="85">
        <f>$C52*(K10/$C10)</f>
        <v>16.466666666666665</v>
      </c>
      <c r="L52" s="87">
        <f>$D52*(K10/$C10)*K17</f>
        <v>41.780275511213276</v>
      </c>
      <c r="M52" s="85">
        <f>$C52*(M10/$C10)</f>
        <v>15.199999999999998</v>
      </c>
      <c r="N52" s="87">
        <f>$D52*(M10/$C10)*M17</f>
        <v>28.687060174714265</v>
      </c>
      <c r="O52" s="85">
        <f>$C52*(O10/$C10)</f>
        <v>15.199999999999998</v>
      </c>
      <c r="P52" s="87">
        <f>$D52*(O10/$C10)*O17</f>
        <v>27.94048012725645</v>
      </c>
      <c r="Q52" s="85">
        <f>$C52*(Q10/$C10)</f>
        <v>15.199999999999998</v>
      </c>
      <c r="R52" s="87">
        <f>$D52*(Q10/$C10)*Q17</f>
        <v>27.94048012725645</v>
      </c>
      <c r="S52" s="44" t="s">
        <v>71</v>
      </c>
      <c r="V52" s="33" t="s">
        <v>162</v>
      </c>
    </row>
    <row r="53" spans="1:19" ht="15">
      <c r="A53" s="30"/>
      <c r="B53" s="59" t="s">
        <v>72</v>
      </c>
      <c r="C53" s="112">
        <v>2.55</v>
      </c>
      <c r="D53" s="113">
        <v>13.22</v>
      </c>
      <c r="E53" s="117">
        <f>$C53*(E10/$C10)</f>
        <v>1.8416666666666666</v>
      </c>
      <c r="F53" s="114">
        <f>$D53*E19*(E10/$C10)</f>
        <v>9.039917257683216</v>
      </c>
      <c r="G53" s="117">
        <f>$C53*(G10/$C10)</f>
        <v>1.8416666666666666</v>
      </c>
      <c r="H53" s="114">
        <f>$D53*G19*(G10/$C10)</f>
        <v>9.039917257683216</v>
      </c>
      <c r="I53" s="58">
        <f>$C53*(I10/$C10)</f>
        <v>1.8416666666666666</v>
      </c>
      <c r="J53" s="57">
        <f>$D53*I19*(I10/$C10)</f>
        <v>5.797206268326165</v>
      </c>
      <c r="K53" s="58">
        <f>$C53*(K10/$C10)</f>
        <v>1.8416666666666666</v>
      </c>
      <c r="L53" s="57">
        <f>$D53*K19*(K10/$C10)</f>
        <v>5.797206268326165</v>
      </c>
      <c r="M53" s="58">
        <f>$C53*(M10/$C10)</f>
        <v>1.6999999999999997</v>
      </c>
      <c r="N53" s="57">
        <f>$D53*M19*(M10/$C10)</f>
        <v>8.02690098691315</v>
      </c>
      <c r="O53" s="58">
        <f>$C53*(O10/$C10)</f>
        <v>1.6999999999999997</v>
      </c>
      <c r="P53" s="57">
        <f>$D53*O19*(O10/$C10)</f>
        <v>8.02690098691315</v>
      </c>
      <c r="Q53" s="58">
        <f>$C53*(Q10/$C10)</f>
        <v>1.6999999999999997</v>
      </c>
      <c r="R53" s="57">
        <f>$D53*Q19*(Q10/$C10)</f>
        <v>8.02690098691315</v>
      </c>
      <c r="S53" s="44" t="s">
        <v>143</v>
      </c>
    </row>
    <row r="54" spans="1:19" ht="15">
      <c r="A54" s="30"/>
      <c r="B54" s="46" t="s">
        <v>144</v>
      </c>
      <c r="C54" s="112">
        <v>-3.27</v>
      </c>
      <c r="D54" s="113">
        <v>15.27</v>
      </c>
      <c r="E54" s="117">
        <f>$C54</f>
        <v>-3.27</v>
      </c>
      <c r="F54" s="114">
        <f>$D54*E18</f>
        <v>15.04185970212766</v>
      </c>
      <c r="G54" s="117">
        <f>$C54</f>
        <v>-3.27</v>
      </c>
      <c r="H54" s="114">
        <f>$D54*G18</f>
        <v>15.04185970212766</v>
      </c>
      <c r="I54" s="58">
        <f>$C54</f>
        <v>-3.27</v>
      </c>
      <c r="J54" s="57">
        <f>$D54*I18</f>
        <v>7.086125227608713</v>
      </c>
      <c r="K54" s="58">
        <f>$C54</f>
        <v>-3.27</v>
      </c>
      <c r="L54" s="57">
        <f>$D54*K18</f>
        <v>7.086125227608713</v>
      </c>
      <c r="M54" s="58">
        <f>$C54</f>
        <v>-3.27</v>
      </c>
      <c r="N54" s="57">
        <f>$D54*M18</f>
        <v>15.943781762119606</v>
      </c>
      <c r="O54" s="58">
        <f>$C54</f>
        <v>-3.27</v>
      </c>
      <c r="P54" s="57">
        <f>$D54*O18</f>
        <v>15.943781762119606</v>
      </c>
      <c r="Q54" s="58">
        <f>$C54</f>
        <v>-3.27</v>
      </c>
      <c r="R54" s="57">
        <f>$D54*Q18</f>
        <v>15.943781762119606</v>
      </c>
      <c r="S54" s="44" t="s">
        <v>139</v>
      </c>
    </row>
    <row r="55" spans="1:19" ht="15">
      <c r="A55" s="30"/>
      <c r="B55" s="46" t="s">
        <v>141</v>
      </c>
      <c r="C55" s="112">
        <v>13</v>
      </c>
      <c r="D55" s="113">
        <v>5</v>
      </c>
      <c r="E55" s="117">
        <f>(24.8/2)/3</f>
        <v>4.133333333333334</v>
      </c>
      <c r="F55" s="114">
        <f>E55</f>
        <v>4.133333333333334</v>
      </c>
      <c r="G55" s="117">
        <f>(24.8/2)/3</f>
        <v>4.133333333333334</v>
      </c>
      <c r="H55" s="114">
        <f>G55</f>
        <v>4.133333333333334</v>
      </c>
      <c r="I55" s="58">
        <f>(24.8/2)/3</f>
        <v>4.133333333333334</v>
      </c>
      <c r="J55" s="57">
        <f>I55</f>
        <v>4.133333333333334</v>
      </c>
      <c r="K55" s="58">
        <f>(24.8/2)/3</f>
        <v>4.133333333333334</v>
      </c>
      <c r="L55" s="57">
        <f>K55</f>
        <v>4.133333333333334</v>
      </c>
      <c r="M55" s="58">
        <f>(24.8/2)*2</f>
        <v>24.8</v>
      </c>
      <c r="N55" s="57">
        <f>M55</f>
        <v>24.8</v>
      </c>
      <c r="O55" s="58">
        <f>(24.8/2)*0.67</f>
        <v>8.308000000000002</v>
      </c>
      <c r="P55" s="57">
        <f>O55</f>
        <v>8.308000000000002</v>
      </c>
      <c r="Q55" s="58">
        <f>(24.8/2)*0.67</f>
        <v>8.308000000000002</v>
      </c>
      <c r="R55" s="57">
        <f>Q55</f>
        <v>8.308000000000002</v>
      </c>
      <c r="S55" s="44" t="s">
        <v>192</v>
      </c>
    </row>
    <row r="56" spans="1:19" ht="15">
      <c r="A56" s="30"/>
      <c r="B56" s="46" t="s">
        <v>36</v>
      </c>
      <c r="C56" s="112">
        <v>5.38</v>
      </c>
      <c r="D56" s="113"/>
      <c r="E56" s="117">
        <v>2.48</v>
      </c>
      <c r="F56" s="113"/>
      <c r="G56" s="117">
        <f>$C56</f>
        <v>5.38</v>
      </c>
      <c r="H56" s="113"/>
      <c r="I56" s="58">
        <f>$C56</f>
        <v>5.38</v>
      </c>
      <c r="J56" s="56"/>
      <c r="K56" s="58">
        <f>$C56</f>
        <v>5.38</v>
      </c>
      <c r="L56" s="56"/>
      <c r="M56" s="58">
        <f>$C56</f>
        <v>5.38</v>
      </c>
      <c r="N56" s="56"/>
      <c r="O56" s="58">
        <f>$C56</f>
        <v>5.38</v>
      </c>
      <c r="P56" s="56"/>
      <c r="Q56" s="58">
        <f>$C56</f>
        <v>5.38</v>
      </c>
      <c r="R56" s="56"/>
      <c r="S56" s="44" t="s">
        <v>4</v>
      </c>
    </row>
    <row r="57" spans="1:19" ht="15">
      <c r="A57" s="30"/>
      <c r="B57" s="69" t="s">
        <v>48</v>
      </c>
      <c r="C57" s="112"/>
      <c r="D57" s="127">
        <f>D52</f>
        <v>49.199999999999996</v>
      </c>
      <c r="E57" s="112"/>
      <c r="F57" s="127">
        <f>F52</f>
        <v>66.08</v>
      </c>
      <c r="G57" s="112"/>
      <c r="H57" s="127">
        <f>H52</f>
        <v>54.73380414011283</v>
      </c>
      <c r="I57" s="55"/>
      <c r="J57" s="70">
        <f>J52</f>
        <v>41.780275511213276</v>
      </c>
      <c r="K57" s="55"/>
      <c r="L57" s="70">
        <f>L52</f>
        <v>41.780275511213276</v>
      </c>
      <c r="M57" s="55"/>
      <c r="N57" s="70">
        <f>N52</f>
        <v>28.687060174714265</v>
      </c>
      <c r="O57" s="55"/>
      <c r="P57" s="70">
        <f>P52</f>
        <v>27.94048012725645</v>
      </c>
      <c r="Q57" s="55"/>
      <c r="R57" s="70">
        <f>R52</f>
        <v>27.94048012725645</v>
      </c>
      <c r="S57" s="44"/>
    </row>
    <row r="58" spans="1:19" ht="15">
      <c r="A58" s="30"/>
      <c r="B58" s="71" t="s">
        <v>49</v>
      </c>
      <c r="C58" s="119">
        <f>SUM(C50:C56)</f>
        <v>91.44999999999999</v>
      </c>
      <c r="D58" s="120">
        <f>SUM(D50:D56)-D57</f>
        <v>33.49</v>
      </c>
      <c r="E58" s="119">
        <f>SUM(E50:E56)</f>
        <v>59.187777777777775</v>
      </c>
      <c r="F58" s="120">
        <f>SUM(F50:F56)-F57</f>
        <v>28.21511029314422</v>
      </c>
      <c r="G58" s="119">
        <f>SUM(G50:G56)</f>
        <v>75.04444444444445</v>
      </c>
      <c r="H58" s="120">
        <f>SUM(H50:H56)-H57</f>
        <v>28.215110293144214</v>
      </c>
      <c r="I58" s="61">
        <f>SUM(I50:I56)</f>
        <v>75.04444444444445</v>
      </c>
      <c r="J58" s="62">
        <f>SUM(J50:J56)-J57</f>
        <v>17.01666482926821</v>
      </c>
      <c r="K58" s="61">
        <f>SUM(K50:K56)</f>
        <v>75.04444444444445</v>
      </c>
      <c r="L58" s="62">
        <f>SUM(L50:L56)-L57</f>
        <v>17.01666482926821</v>
      </c>
      <c r="M58" s="61">
        <f>SUM(M50:M56)</f>
        <v>91.80333333333333</v>
      </c>
      <c r="N58" s="62">
        <f>SUM(N50:N56)-N57</f>
        <v>48.77068274903276</v>
      </c>
      <c r="O58" s="61">
        <f>SUM(O50:O56)</f>
        <v>75.31133333333332</v>
      </c>
      <c r="P58" s="62">
        <f>SUM(P50:P56)-P57</f>
        <v>32.278682749032754</v>
      </c>
      <c r="Q58" s="61">
        <f>SUM(Q50:Q56)</f>
        <v>75.31133333333332</v>
      </c>
      <c r="R58" s="62">
        <f>SUM(R50:R56)-R57</f>
        <v>32.278682749032754</v>
      </c>
      <c r="S58" s="44"/>
    </row>
    <row r="59" spans="1:19" ht="15">
      <c r="A59" s="30"/>
      <c r="B59" s="47" t="s">
        <v>50</v>
      </c>
      <c r="C59" s="122">
        <f aca="true" t="shared" si="4" ref="C59:H59">SUM(C50:C56)</f>
        <v>91.44999999999999</v>
      </c>
      <c r="D59" s="122">
        <f t="shared" si="4"/>
        <v>82.69</v>
      </c>
      <c r="E59" s="122">
        <f t="shared" si="4"/>
        <v>59.187777777777775</v>
      </c>
      <c r="F59" s="122">
        <f t="shared" si="4"/>
        <v>94.29511029314422</v>
      </c>
      <c r="G59" s="122">
        <f t="shared" si="4"/>
        <v>75.04444444444445</v>
      </c>
      <c r="H59" s="122">
        <f t="shared" si="4"/>
        <v>82.94891443325704</v>
      </c>
      <c r="I59" s="63">
        <f aca="true" t="shared" si="5" ref="I59:R59">SUM(I50:I56)</f>
        <v>75.04444444444445</v>
      </c>
      <c r="J59" s="63">
        <f t="shared" si="5"/>
        <v>58.796940340481484</v>
      </c>
      <c r="K59" s="63">
        <f t="shared" si="5"/>
        <v>75.04444444444445</v>
      </c>
      <c r="L59" s="63">
        <f t="shared" si="5"/>
        <v>58.796940340481484</v>
      </c>
      <c r="M59" s="63">
        <f t="shared" si="5"/>
        <v>91.80333333333333</v>
      </c>
      <c r="N59" s="63">
        <f t="shared" si="5"/>
        <v>77.45774292374702</v>
      </c>
      <c r="O59" s="97">
        <f t="shared" si="5"/>
        <v>75.31133333333332</v>
      </c>
      <c r="P59" s="97">
        <f t="shared" si="5"/>
        <v>60.219162876289204</v>
      </c>
      <c r="Q59" s="63">
        <f t="shared" si="5"/>
        <v>75.31133333333332</v>
      </c>
      <c r="R59" s="97">
        <f t="shared" si="5"/>
        <v>60.219162876289204</v>
      </c>
      <c r="S59" s="106" t="s">
        <v>235</v>
      </c>
    </row>
    <row r="60" spans="1:19" ht="15.75" thickBot="1">
      <c r="A60" s="30"/>
      <c r="B60" s="74" t="s">
        <v>200</v>
      </c>
      <c r="C60" s="168">
        <f>SUM(C57:D58)</f>
        <v>174.14</v>
      </c>
      <c r="D60" s="169"/>
      <c r="E60" s="168">
        <f>SUM(E57:F58)</f>
        <v>153.482888070922</v>
      </c>
      <c r="F60" s="169"/>
      <c r="G60" s="168">
        <f>SUM(G57:H58)</f>
        <v>157.9933588777015</v>
      </c>
      <c r="H60" s="169"/>
      <c r="I60" s="138">
        <f>SUM(I57:J58)</f>
        <v>133.84138478492594</v>
      </c>
      <c r="J60" s="139"/>
      <c r="K60" s="138">
        <f>SUM(K57:L58)</f>
        <v>133.84138478492594</v>
      </c>
      <c r="L60" s="139"/>
      <c r="M60" s="138">
        <f>SUM(M57:N58)</f>
        <v>169.26107625708033</v>
      </c>
      <c r="N60" s="139"/>
      <c r="O60" s="138">
        <f>SUM(O57:P58)</f>
        <v>135.53049620962253</v>
      </c>
      <c r="P60" s="139"/>
      <c r="Q60" s="138">
        <f>SUM(Q57:R58)</f>
        <v>135.53049620962253</v>
      </c>
      <c r="R60" s="139"/>
      <c r="S60" s="81">
        <f>I60*3</f>
        <v>401.5241543547778</v>
      </c>
    </row>
    <row r="61" spans="1:19" ht="15">
      <c r="A61" s="30"/>
      <c r="B61" s="75" t="s">
        <v>120</v>
      </c>
      <c r="C61" s="42" t="s">
        <v>122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</row>
    <row r="62" spans="1:19" ht="15">
      <c r="A62" s="30"/>
      <c r="B62" s="75" t="s">
        <v>125</v>
      </c>
      <c r="C62" s="42" t="s">
        <v>191</v>
      </c>
      <c r="D62" s="43"/>
      <c r="E62" s="42"/>
      <c r="F62" s="43"/>
      <c r="G62" s="42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</row>
    <row r="63" spans="1:19" ht="15">
      <c r="A63" s="30"/>
      <c r="B63" s="75" t="s">
        <v>125</v>
      </c>
      <c r="C63" s="42" t="s">
        <v>187</v>
      </c>
      <c r="D63" s="43"/>
      <c r="E63" s="42"/>
      <c r="F63" s="43"/>
      <c r="G63" s="4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</row>
    <row r="64" spans="1:19" s="42" customFormat="1" ht="15">
      <c r="A64" s="130"/>
      <c r="B64" s="75" t="s">
        <v>125</v>
      </c>
      <c r="C64" s="133" t="s">
        <v>188</v>
      </c>
      <c r="D64" s="131"/>
      <c r="E64" s="130"/>
      <c r="F64" s="131"/>
      <c r="G64" s="130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2"/>
    </row>
    <row r="65" spans="1:19" ht="15">
      <c r="A65" s="30"/>
      <c r="B65" s="36"/>
      <c r="C65" s="37"/>
      <c r="D65" s="31"/>
      <c r="E65" s="30"/>
      <c r="F65" s="31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</row>
    <row r="66" spans="1:19" ht="15">
      <c r="A66" s="30"/>
      <c r="B66" s="36"/>
      <c r="C66" s="37"/>
      <c r="D66" s="31"/>
      <c r="E66" s="30"/>
      <c r="F66" s="31"/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</row>
    <row r="67" spans="1:19" ht="15">
      <c r="A67" s="30"/>
      <c r="B67" s="36"/>
      <c r="C67" s="37"/>
      <c r="D67" s="31"/>
      <c r="E67" s="30"/>
      <c r="F67" s="31"/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</row>
    <row r="68" spans="1:19" ht="15">
      <c r="A68" s="30"/>
      <c r="B68" s="36"/>
      <c r="C68" s="37"/>
      <c r="D68" s="31"/>
      <c r="E68" s="30"/>
      <c r="F68" s="31"/>
      <c r="G68" s="3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</row>
    <row r="69" spans="1:19" ht="15">
      <c r="A69" s="30"/>
      <c r="B69" s="36"/>
      <c r="C69" s="37"/>
      <c r="D69" s="31"/>
      <c r="E69" s="30"/>
      <c r="F69" s="31"/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2"/>
    </row>
    <row r="70" spans="1:19" ht="15">
      <c r="A70" s="30"/>
      <c r="B70" s="36"/>
      <c r="C70" s="37"/>
      <c r="D70" s="31"/>
      <c r="E70" s="30"/>
      <c r="F70" s="31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</row>
    <row r="71" spans="1:19" ht="15">
      <c r="A71" s="30"/>
      <c r="B71" s="36"/>
      <c r="C71" s="37"/>
      <c r="D71" s="31"/>
      <c r="E71" s="30"/>
      <c r="F71" s="31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</row>
    <row r="72" spans="1:3" ht="15">
      <c r="A72" s="30"/>
      <c r="B72" s="36"/>
      <c r="C72" s="38"/>
    </row>
    <row r="73" spans="2:3" ht="12">
      <c r="B73" s="39"/>
      <c r="C73" s="38"/>
    </row>
    <row r="74" ht="12">
      <c r="B74" s="39"/>
    </row>
    <row r="75" ht="12">
      <c r="B75" s="39"/>
    </row>
    <row r="76" ht="12">
      <c r="B76" s="39"/>
    </row>
    <row r="77" ht="12">
      <c r="B77" s="40"/>
    </row>
    <row r="78" ht="12">
      <c r="B78" s="40"/>
    </row>
    <row r="79" ht="12">
      <c r="B79" s="40"/>
    </row>
    <row r="80" ht="12">
      <c r="B80" s="40"/>
    </row>
    <row r="81" ht="12">
      <c r="B81" s="40"/>
    </row>
    <row r="82" ht="12">
      <c r="B82" s="40"/>
    </row>
    <row r="83" ht="12">
      <c r="B83" s="40"/>
    </row>
    <row r="84" ht="12">
      <c r="B84" s="40"/>
    </row>
    <row r="85" ht="12">
      <c r="B85" s="40"/>
    </row>
    <row r="86" ht="12">
      <c r="B86" s="40"/>
    </row>
    <row r="87" ht="12">
      <c r="B87" s="40"/>
    </row>
    <row r="88" ht="12">
      <c r="B88" s="40"/>
    </row>
    <row r="89" ht="12">
      <c r="B89" s="40"/>
    </row>
    <row r="90" ht="12">
      <c r="B90" s="40"/>
    </row>
    <row r="91" ht="12">
      <c r="B91" s="40"/>
    </row>
    <row r="92" ht="12">
      <c r="B92" s="40"/>
    </row>
    <row r="93" ht="12">
      <c r="B93" s="40"/>
    </row>
    <row r="94" ht="12">
      <c r="B94" s="40"/>
    </row>
    <row r="95" ht="12">
      <c r="B95" s="40"/>
    </row>
    <row r="96" ht="12">
      <c r="B96" s="40"/>
    </row>
    <row r="97" ht="12">
      <c r="B97" s="40"/>
    </row>
    <row r="98" ht="12">
      <c r="B98" s="40"/>
    </row>
    <row r="99" ht="12">
      <c r="B99" s="40"/>
    </row>
    <row r="100" ht="12">
      <c r="B100" s="40"/>
    </row>
    <row r="101" ht="12">
      <c r="B101" s="40"/>
    </row>
    <row r="102" ht="12">
      <c r="B102" s="40"/>
    </row>
    <row r="103" ht="12">
      <c r="B103" s="40"/>
    </row>
    <row r="104" ht="12">
      <c r="B104" s="40"/>
    </row>
    <row r="105" ht="12">
      <c r="B105" s="40"/>
    </row>
    <row r="106" ht="12">
      <c r="B106" s="40"/>
    </row>
    <row r="107" ht="12">
      <c r="B107" s="40"/>
    </row>
    <row r="108" ht="12">
      <c r="B108" s="40"/>
    </row>
    <row r="109" ht="12">
      <c r="B109" s="40"/>
    </row>
    <row r="110" ht="12">
      <c r="B110" s="40"/>
    </row>
    <row r="111" ht="12">
      <c r="B111" s="40"/>
    </row>
    <row r="112" ht="12">
      <c r="B112" s="40"/>
    </row>
    <row r="113" ht="12">
      <c r="B113" s="40"/>
    </row>
    <row r="114" ht="12">
      <c r="B114" s="40"/>
    </row>
    <row r="115" ht="12">
      <c r="B115" s="40"/>
    </row>
    <row r="116" ht="12">
      <c r="B116" s="40"/>
    </row>
    <row r="117" ht="12">
      <c r="B117" s="40"/>
    </row>
    <row r="118" ht="12">
      <c r="B118" s="40"/>
    </row>
    <row r="119" ht="12">
      <c r="B119" s="40"/>
    </row>
    <row r="120" ht="12">
      <c r="B120" s="40"/>
    </row>
    <row r="121" ht="12">
      <c r="B121" s="40"/>
    </row>
    <row r="122" ht="12">
      <c r="B122" s="40"/>
    </row>
    <row r="123" ht="12">
      <c r="B123" s="40"/>
    </row>
    <row r="124" ht="12">
      <c r="B124" s="40"/>
    </row>
    <row r="125" ht="12">
      <c r="B125" s="40"/>
    </row>
    <row r="126" ht="12">
      <c r="B126" s="40"/>
    </row>
    <row r="127" ht="12">
      <c r="B127" s="40"/>
    </row>
    <row r="128" ht="12">
      <c r="B128" s="40"/>
    </row>
    <row r="129" ht="12">
      <c r="B129" s="40"/>
    </row>
    <row r="130" ht="12">
      <c r="B130" s="40"/>
    </row>
    <row r="131" ht="12">
      <c r="B131" s="40"/>
    </row>
    <row r="132" ht="12">
      <c r="B132" s="40"/>
    </row>
    <row r="133" ht="12">
      <c r="B133" s="40"/>
    </row>
    <row r="134" ht="12">
      <c r="B134" s="40"/>
    </row>
    <row r="135" ht="12">
      <c r="B135" s="40"/>
    </row>
    <row r="136" ht="12">
      <c r="B136" s="40"/>
    </row>
    <row r="137" ht="12">
      <c r="B137" s="40"/>
    </row>
    <row r="138" ht="12">
      <c r="B138" s="40"/>
    </row>
  </sheetData>
  <sheetProtection/>
  <mergeCells count="164">
    <mergeCell ref="K49:L49"/>
    <mergeCell ref="K60:L60"/>
    <mergeCell ref="K19:L19"/>
    <mergeCell ref="K21:L21"/>
    <mergeCell ref="K36:L36"/>
    <mergeCell ref="K37:L37"/>
    <mergeCell ref="K14:L14"/>
    <mergeCell ref="O4:R4"/>
    <mergeCell ref="K48:L48"/>
    <mergeCell ref="K17:L17"/>
    <mergeCell ref="K18:L18"/>
    <mergeCell ref="K10:L10"/>
    <mergeCell ref="K11:L11"/>
    <mergeCell ref="K12:L12"/>
    <mergeCell ref="K13:L13"/>
    <mergeCell ref="E37:F37"/>
    <mergeCell ref="C19:D19"/>
    <mergeCell ref="C18:D18"/>
    <mergeCell ref="E18:F18"/>
    <mergeCell ref="C21:D21"/>
    <mergeCell ref="K15:L15"/>
    <mergeCell ref="I49:J49"/>
    <mergeCell ref="I48:J48"/>
    <mergeCell ref="E49:F49"/>
    <mergeCell ref="G18:H18"/>
    <mergeCell ref="G48:H48"/>
    <mergeCell ref="E19:F19"/>
    <mergeCell ref="I21:J21"/>
    <mergeCell ref="E21:F21"/>
    <mergeCell ref="G21:H21"/>
    <mergeCell ref="I37:J37"/>
    <mergeCell ref="C60:D60"/>
    <mergeCell ref="E60:F60"/>
    <mergeCell ref="C48:D48"/>
    <mergeCell ref="E48:F48"/>
    <mergeCell ref="G19:H19"/>
    <mergeCell ref="G36:H36"/>
    <mergeCell ref="C49:D49"/>
    <mergeCell ref="C37:D37"/>
    <mergeCell ref="C36:D36"/>
    <mergeCell ref="E36:F36"/>
    <mergeCell ref="C13:D13"/>
    <mergeCell ref="C16:D16"/>
    <mergeCell ref="E6:F6"/>
    <mergeCell ref="C6:D6"/>
    <mergeCell ref="C7:D7"/>
    <mergeCell ref="E7:F7"/>
    <mergeCell ref="E13:F13"/>
    <mergeCell ref="C14:D14"/>
    <mergeCell ref="E9:F9"/>
    <mergeCell ref="C11:D11"/>
    <mergeCell ref="C12:D12"/>
    <mergeCell ref="C10:D10"/>
    <mergeCell ref="C17:D17"/>
    <mergeCell ref="E16:F16"/>
    <mergeCell ref="E17:F17"/>
    <mergeCell ref="E14:F14"/>
    <mergeCell ref="E10:F10"/>
    <mergeCell ref="E11:F11"/>
    <mergeCell ref="I8:J8"/>
    <mergeCell ref="I9:J9"/>
    <mergeCell ref="I10:J10"/>
    <mergeCell ref="I14:J14"/>
    <mergeCell ref="C8:D8"/>
    <mergeCell ref="E8:F8"/>
    <mergeCell ref="I11:J11"/>
    <mergeCell ref="I12:J12"/>
    <mergeCell ref="E12:F12"/>
    <mergeCell ref="C9:D9"/>
    <mergeCell ref="G17:H17"/>
    <mergeCell ref="I60:J60"/>
    <mergeCell ref="I16:J16"/>
    <mergeCell ref="I17:J17"/>
    <mergeCell ref="I18:J18"/>
    <mergeCell ref="I19:J19"/>
    <mergeCell ref="I36:J36"/>
    <mergeCell ref="G60:H60"/>
    <mergeCell ref="G37:H37"/>
    <mergeCell ref="G49:H49"/>
    <mergeCell ref="G8:H8"/>
    <mergeCell ref="G9:H9"/>
    <mergeCell ref="K6:L6"/>
    <mergeCell ref="K7:L7"/>
    <mergeCell ref="K8:L8"/>
    <mergeCell ref="K9:L9"/>
    <mergeCell ref="I6:J6"/>
    <mergeCell ref="G6:H6"/>
    <mergeCell ref="G7:H7"/>
    <mergeCell ref="I7:J7"/>
    <mergeCell ref="Q8:R8"/>
    <mergeCell ref="Q6:R6"/>
    <mergeCell ref="Q10:R10"/>
    <mergeCell ref="O6:P6"/>
    <mergeCell ref="Q9:R9"/>
    <mergeCell ref="O11:P11"/>
    <mergeCell ref="G12:H12"/>
    <mergeCell ref="G13:H13"/>
    <mergeCell ref="G14:H14"/>
    <mergeCell ref="G16:H16"/>
    <mergeCell ref="Q14:R14"/>
    <mergeCell ref="O9:P9"/>
    <mergeCell ref="G11:H11"/>
    <mergeCell ref="I13:J13"/>
    <mergeCell ref="G10:H10"/>
    <mergeCell ref="K16:L16"/>
    <mergeCell ref="Q15:R15"/>
    <mergeCell ref="Q16:R16"/>
    <mergeCell ref="Q48:R48"/>
    <mergeCell ref="Q49:R49"/>
    <mergeCell ref="Q19:R19"/>
    <mergeCell ref="Q21:R21"/>
    <mergeCell ref="Q17:R17"/>
    <mergeCell ref="Q18:R18"/>
    <mergeCell ref="M8:N8"/>
    <mergeCell ref="O37:P37"/>
    <mergeCell ref="Q36:R36"/>
    <mergeCell ref="Q37:R37"/>
    <mergeCell ref="C15:D15"/>
    <mergeCell ref="E15:F15"/>
    <mergeCell ref="G15:H15"/>
    <mergeCell ref="I15:J15"/>
    <mergeCell ref="O36:P36"/>
    <mergeCell ref="M18:N18"/>
    <mergeCell ref="O8:P8"/>
    <mergeCell ref="M12:N12"/>
    <mergeCell ref="O48:P48"/>
    <mergeCell ref="M6:N6"/>
    <mergeCell ref="O12:P12"/>
    <mergeCell ref="O10:P10"/>
    <mergeCell ref="O16:P16"/>
    <mergeCell ref="M11:N11"/>
    <mergeCell ref="O21:P21"/>
    <mergeCell ref="O7:P7"/>
    <mergeCell ref="M13:N13"/>
    <mergeCell ref="Q13:R13"/>
    <mergeCell ref="Q11:R11"/>
    <mergeCell ref="Q12:R12"/>
    <mergeCell ref="M9:N9"/>
    <mergeCell ref="M10:N10"/>
    <mergeCell ref="M14:N14"/>
    <mergeCell ref="M15:N15"/>
    <mergeCell ref="O15:P15"/>
    <mergeCell ref="O19:P19"/>
    <mergeCell ref="M16:N16"/>
    <mergeCell ref="M17:N17"/>
    <mergeCell ref="O18:P18"/>
    <mergeCell ref="O17:P17"/>
    <mergeCell ref="O14:P14"/>
    <mergeCell ref="M49:N49"/>
    <mergeCell ref="M19:N19"/>
    <mergeCell ref="M21:N21"/>
    <mergeCell ref="M36:N36"/>
    <mergeCell ref="M37:N37"/>
    <mergeCell ref="M48:N48"/>
    <mergeCell ref="M5:N5"/>
    <mergeCell ref="M7:N7"/>
    <mergeCell ref="Q7:R7"/>
    <mergeCell ref="M60:N60"/>
    <mergeCell ref="O60:P60"/>
    <mergeCell ref="O49:P49"/>
    <mergeCell ref="Q60:R60"/>
    <mergeCell ref="O5:P5"/>
    <mergeCell ref="Q5:R5"/>
    <mergeCell ref="O13:P13"/>
  </mergeCells>
  <printOptions/>
  <pageMargins left="0.75" right="0.75" top="1" bottom="1" header="0.5" footer="0.5"/>
  <pageSetup fitToHeight="1" fitToWidth="1" orientation="portrait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G23" sqref="G23"/>
    </sheetView>
  </sheetViews>
  <sheetFormatPr defaultColWidth="11.00390625" defaultRowHeight="12.75"/>
  <cols>
    <col min="1" max="1" width="39.875" style="0" customWidth="1"/>
    <col min="2" max="2" width="9.625" style="0" customWidth="1"/>
    <col min="3" max="3" width="13.25390625" style="0" bestFit="1" customWidth="1"/>
    <col min="4" max="4" width="13.25390625" style="0" customWidth="1"/>
    <col min="5" max="5" width="13.25390625" style="0" bestFit="1" customWidth="1"/>
    <col min="6" max="6" width="8.25390625" style="0" customWidth="1"/>
    <col min="7" max="7" width="10.75390625" style="13" customWidth="1"/>
  </cols>
  <sheetData>
    <row r="1" spans="1:4" s="13" customFormat="1" ht="12">
      <c r="A1" s="15" t="s">
        <v>89</v>
      </c>
      <c r="B1" s="2"/>
      <c r="C1" s="2"/>
      <c r="D1" s="2" t="s">
        <v>179</v>
      </c>
    </row>
    <row r="2" spans="1:4" s="13" customFormat="1" ht="12">
      <c r="A2" s="3">
        <v>37618</v>
      </c>
      <c r="B2" s="1"/>
      <c r="C2" s="1"/>
      <c r="D2" s="1"/>
    </row>
    <row r="3" spans="1:5" s="13" customFormat="1" ht="12">
      <c r="A3" s="19" t="s">
        <v>137</v>
      </c>
      <c r="B3" s="20" t="s">
        <v>40</v>
      </c>
      <c r="C3" s="1"/>
      <c r="D3" s="1"/>
      <c r="E3" s="18"/>
    </row>
    <row r="4" spans="1:4" s="13" customFormat="1" ht="12">
      <c r="A4" s="3"/>
      <c r="B4" s="13" t="s">
        <v>203</v>
      </c>
      <c r="C4" s="1"/>
      <c r="D4" s="1"/>
    </row>
    <row r="5" spans="1:4" s="13" customFormat="1" ht="12">
      <c r="A5" s="3"/>
      <c r="B5" s="13" t="s">
        <v>31</v>
      </c>
      <c r="C5" s="1"/>
      <c r="D5" s="1"/>
    </row>
    <row r="6" spans="1:7" s="13" customFormat="1" ht="12">
      <c r="A6" s="3"/>
      <c r="B6" s="13" t="s">
        <v>207</v>
      </c>
      <c r="C6" s="1"/>
      <c r="D6" s="1"/>
      <c r="G6" s="21" t="s">
        <v>57</v>
      </c>
    </row>
    <row r="7" spans="2:7" s="13" customFormat="1" ht="12.75">
      <c r="B7"/>
      <c r="C7" s="1"/>
      <c r="D7" s="1"/>
      <c r="G7" s="18">
        <f>(G14/3)*(2*G13+G12+625)/1000000</f>
        <v>2.472256</v>
      </c>
    </row>
    <row r="8" spans="1:4" s="13" customFormat="1" ht="16.5">
      <c r="A8" s="80" t="s">
        <v>60</v>
      </c>
      <c r="C8" s="2"/>
      <c r="D8" s="2"/>
    </row>
    <row r="9" spans="1:5" s="13" customFormat="1" ht="12">
      <c r="A9" s="3"/>
      <c r="B9" s="1"/>
      <c r="C9" s="1"/>
      <c r="D9" s="1"/>
      <c r="E9" s="1"/>
    </row>
    <row r="10" spans="1:7" s="13" customFormat="1" ht="12">
      <c r="A10" s="1"/>
      <c r="B10" s="1"/>
      <c r="C10" s="2" t="s">
        <v>90</v>
      </c>
      <c r="D10" s="2" t="s">
        <v>201</v>
      </c>
      <c r="E10" s="2" t="s">
        <v>202</v>
      </c>
      <c r="G10" s="13" t="s">
        <v>88</v>
      </c>
    </row>
    <row r="11" spans="1:7" s="13" customFormat="1" ht="12">
      <c r="A11" s="1"/>
      <c r="B11" s="1"/>
      <c r="C11" s="1" t="s">
        <v>78</v>
      </c>
      <c r="D11" s="1" t="s">
        <v>78</v>
      </c>
      <c r="E11" s="1" t="s">
        <v>78</v>
      </c>
      <c r="G11" s="13" t="s">
        <v>32</v>
      </c>
    </row>
    <row r="12" spans="1:8" s="13" customFormat="1" ht="12">
      <c r="A12" s="1"/>
      <c r="B12" s="1"/>
      <c r="C12" s="1" t="s">
        <v>79</v>
      </c>
      <c r="D12" s="1" t="s">
        <v>80</v>
      </c>
      <c r="E12" s="1" t="s">
        <v>79</v>
      </c>
      <c r="G12" s="23">
        <v>12668</v>
      </c>
      <c r="H12" s="13" t="s">
        <v>148</v>
      </c>
    </row>
    <row r="13" spans="1:8" s="13" customFormat="1" ht="12">
      <c r="A13" s="9" t="s">
        <v>81</v>
      </c>
      <c r="B13" s="9" t="s">
        <v>82</v>
      </c>
      <c r="C13" s="10">
        <v>40</v>
      </c>
      <c r="D13" s="12">
        <v>5</v>
      </c>
      <c r="E13" s="12">
        <v>2.4</v>
      </c>
      <c r="G13" s="23">
        <v>12668</v>
      </c>
      <c r="H13" s="13" t="s">
        <v>138</v>
      </c>
    </row>
    <row r="14" spans="1:10" s="13" customFormat="1" ht="12">
      <c r="A14" s="9" t="s">
        <v>83</v>
      </c>
      <c r="B14" s="9" t="s">
        <v>84</v>
      </c>
      <c r="C14" s="12">
        <v>16</v>
      </c>
      <c r="D14" s="12">
        <v>5</v>
      </c>
      <c r="E14" s="12">
        <v>1.2</v>
      </c>
      <c r="G14" s="24">
        <v>192</v>
      </c>
      <c r="H14" s="13" t="s">
        <v>45</v>
      </c>
      <c r="J14" s="22"/>
    </row>
    <row r="15" spans="1:8" s="13" customFormat="1" ht="12.75">
      <c r="A15" s="4" t="s">
        <v>85</v>
      </c>
      <c r="B15" s="4" t="s">
        <v>195</v>
      </c>
      <c r="C15" s="6">
        <f>15.1+5.217*C13</f>
        <v>223.77999999999997</v>
      </c>
      <c r="D15" s="6">
        <v>14.66</v>
      </c>
      <c r="E15" s="7">
        <v>4.383</v>
      </c>
      <c r="G15"/>
      <c r="H15"/>
    </row>
    <row r="16" spans="1:8" s="13" customFormat="1" ht="12.75">
      <c r="A16" s="4" t="s">
        <v>196</v>
      </c>
      <c r="B16" s="4" t="s">
        <v>197</v>
      </c>
      <c r="C16" s="6">
        <f>2.0234-5.0309*LOG(C14)+(11.953+0.008775*C14)*LOG(C13)</f>
        <v>15.339945078381884</v>
      </c>
      <c r="D16" s="6">
        <v>3.901</v>
      </c>
      <c r="E16" s="7">
        <v>1.862</v>
      </c>
      <c r="G16"/>
      <c r="H16"/>
    </row>
    <row r="17" spans="1:7" s="13" customFormat="1" ht="12">
      <c r="A17" s="9" t="s">
        <v>130</v>
      </c>
      <c r="B17" s="9" t="s">
        <v>82</v>
      </c>
      <c r="C17" s="10">
        <v>80</v>
      </c>
      <c r="D17" s="12">
        <v>8</v>
      </c>
      <c r="E17" s="12">
        <v>2</v>
      </c>
      <c r="G17" s="14" t="s">
        <v>87</v>
      </c>
    </row>
    <row r="18" spans="1:7" s="13" customFormat="1" ht="12.75">
      <c r="A18" s="9" t="s">
        <v>131</v>
      </c>
      <c r="B18" s="9" t="s">
        <v>84</v>
      </c>
      <c r="C18" s="12">
        <v>14</v>
      </c>
      <c r="D18" s="12">
        <v>4</v>
      </c>
      <c r="E18" s="12" t="s">
        <v>132</v>
      </c>
      <c r="G18"/>
    </row>
    <row r="19" spans="1:7" s="13" customFormat="1" ht="12.75">
      <c r="A19" s="4" t="s">
        <v>133</v>
      </c>
      <c r="B19" s="4" t="s">
        <v>195</v>
      </c>
      <c r="C19" s="6">
        <f>15.1+5.217*C17</f>
        <v>432.46</v>
      </c>
      <c r="D19" s="6">
        <v>46.71</v>
      </c>
      <c r="E19" s="5">
        <v>25.04</v>
      </c>
      <c r="G19"/>
    </row>
    <row r="20" spans="1:7" s="13" customFormat="1" ht="12.75">
      <c r="A20" s="4" t="s">
        <v>134</v>
      </c>
      <c r="B20" s="4" t="s">
        <v>197</v>
      </c>
      <c r="C20" s="6">
        <f>2.0234-5.0309*LOG(C18)+(11.953+0.008775*C18)*LOG(C17)</f>
        <v>19.238773684723014</v>
      </c>
      <c r="D20" s="6">
        <v>9.083</v>
      </c>
      <c r="E20" s="5">
        <v>12.58</v>
      </c>
      <c r="G20"/>
    </row>
    <row r="21" spans="1:7" s="13" customFormat="1" ht="12.75">
      <c r="A21" s="4"/>
      <c r="B21" s="4"/>
      <c r="C21" s="6"/>
      <c r="D21" s="6"/>
      <c r="E21" s="6"/>
      <c r="G21"/>
    </row>
    <row r="22" spans="1:7" s="13" customFormat="1" ht="12.75">
      <c r="A22" s="4"/>
      <c r="B22" s="4"/>
      <c r="C22" s="2" t="s">
        <v>90</v>
      </c>
      <c r="D22" s="2" t="s">
        <v>201</v>
      </c>
      <c r="E22" s="2" t="s">
        <v>202</v>
      </c>
      <c r="G22"/>
    </row>
    <row r="23" spans="1:7" s="13" customFormat="1" ht="12.75">
      <c r="A23" s="4" t="s">
        <v>151</v>
      </c>
      <c r="B23" s="4" t="s">
        <v>135</v>
      </c>
      <c r="C23" s="41">
        <f>'CM_ HeatLoad'!E59</f>
        <v>59.187777777777775</v>
      </c>
      <c r="D23" s="26">
        <f>'CM_ HeatLoad'!E47</f>
        <v>10.563888888888888</v>
      </c>
      <c r="E23" s="26">
        <f>'CM_ HeatLoad'!E35</f>
        <v>1.7005555555555554</v>
      </c>
      <c r="G23" s="13" t="s">
        <v>159</v>
      </c>
    </row>
    <row r="24" spans="1:5" s="13" customFormat="1" ht="12.75">
      <c r="A24" s="4" t="s">
        <v>152</v>
      </c>
      <c r="B24" s="4" t="s">
        <v>135</v>
      </c>
      <c r="C24" s="41">
        <f>'CM_ HeatLoad'!F59</f>
        <v>94.29511029314422</v>
      </c>
      <c r="D24" s="26">
        <f>'CM_ HeatLoad'!F47</f>
        <v>4.364086888888889</v>
      </c>
      <c r="E24" s="26">
        <f>'CM_ HeatLoad'!F35</f>
        <v>9.669573426764616</v>
      </c>
    </row>
    <row r="25" spans="1:5" s="13" customFormat="1" ht="12.75">
      <c r="A25"/>
      <c r="B25"/>
      <c r="C25"/>
      <c r="D25"/>
      <c r="E25"/>
    </row>
    <row r="26" spans="1:5" s="16" customFormat="1" ht="12">
      <c r="A26" s="4" t="s">
        <v>123</v>
      </c>
      <c r="B26" s="4"/>
      <c r="C26" s="6">
        <f>G14</f>
        <v>192</v>
      </c>
      <c r="D26" s="6">
        <f>C26</f>
        <v>192</v>
      </c>
      <c r="E26" s="6">
        <f>D26</f>
        <v>192</v>
      </c>
    </row>
    <row r="27" spans="1:5" s="13" customFormat="1" ht="12">
      <c r="A27" s="1" t="s">
        <v>111</v>
      </c>
      <c r="B27" s="1" t="s">
        <v>206</v>
      </c>
      <c r="C27" s="5">
        <f>C23*C26/1000</f>
        <v>11.364053333333333</v>
      </c>
      <c r="D27" s="5">
        <f>D23*D26/1000</f>
        <v>2.028266666666666</v>
      </c>
      <c r="E27" s="5">
        <f>E23*E26/1000</f>
        <v>0.32650666666666667</v>
      </c>
    </row>
    <row r="28" spans="1:5" s="13" customFormat="1" ht="12">
      <c r="A28" s="1" t="s">
        <v>74</v>
      </c>
      <c r="B28" s="1" t="s">
        <v>206</v>
      </c>
      <c r="C28" s="8">
        <f>C24*C26/1000</f>
        <v>18.10466117628369</v>
      </c>
      <c r="D28" s="8">
        <f>D24*D26/1000</f>
        <v>0.8379046826666667</v>
      </c>
      <c r="E28" s="8">
        <f>E24*E26/1000</f>
        <v>1.8565580979388066</v>
      </c>
    </row>
    <row r="29" spans="2:5" s="13" customFormat="1" ht="12">
      <c r="B29" s="1"/>
      <c r="C29" s="8"/>
      <c r="D29" s="8"/>
      <c r="E29" s="8"/>
    </row>
    <row r="30" spans="1:8" s="13" customFormat="1" ht="12">
      <c r="A30" s="9" t="s">
        <v>149</v>
      </c>
      <c r="B30" s="9" t="s">
        <v>206</v>
      </c>
      <c r="C30" s="12">
        <v>1</v>
      </c>
      <c r="D30" s="12">
        <v>0.2</v>
      </c>
      <c r="E30" s="12">
        <v>0.2</v>
      </c>
      <c r="G30" s="16" t="s">
        <v>75</v>
      </c>
      <c r="H30" s="16"/>
    </row>
    <row r="31" spans="1:8" s="13" customFormat="1" ht="12">
      <c r="A31" s="1" t="s">
        <v>6</v>
      </c>
      <c r="B31" s="1" t="s">
        <v>206</v>
      </c>
      <c r="C31" s="8">
        <f>C27+C28+C30</f>
        <v>30.468714509617023</v>
      </c>
      <c r="D31" s="8">
        <f>D27+D28+D30</f>
        <v>3.066171349333333</v>
      </c>
      <c r="E31" s="8">
        <f>E27+E28+E30</f>
        <v>2.3830647646054732</v>
      </c>
      <c r="H31" s="13" t="s">
        <v>76</v>
      </c>
    </row>
    <row r="32" spans="1:8" s="13" customFormat="1" ht="12">
      <c r="A32" s="1" t="s">
        <v>113</v>
      </c>
      <c r="B32" s="1" t="s">
        <v>7</v>
      </c>
      <c r="C32" s="5">
        <f>C31*1000/(C19-C15)</f>
        <v>146.00687420748045</v>
      </c>
      <c r="D32" s="5">
        <f>D31*1000/(D19-D15)</f>
        <v>95.66837283411337</v>
      </c>
      <c r="E32" s="5">
        <f>E31*1000/(E19-E15)</f>
        <v>115.36354575231026</v>
      </c>
      <c r="H32" s="13" t="s">
        <v>77</v>
      </c>
    </row>
    <row r="33" spans="1:5" s="13" customFormat="1" ht="12">
      <c r="A33" s="1" t="s">
        <v>112</v>
      </c>
      <c r="B33" s="1" t="s">
        <v>206</v>
      </c>
      <c r="C33" s="6">
        <f>C32*(300*(C20-C16)-(C19-C15))/1000</f>
        <v>140.30801885515567</v>
      </c>
      <c r="D33" s="6">
        <f>D32*(300*(D20-D16)-(D19-D15))/1000</f>
        <v>145.65988105857934</v>
      </c>
      <c r="E33" s="6">
        <f>E32*(300*(E20-E16)-(E19-E15))/1000</f>
        <v>368.5568802473729</v>
      </c>
    </row>
    <row r="34" spans="1:5" s="13" customFormat="1" ht="12">
      <c r="A34" s="1"/>
      <c r="B34" s="1"/>
      <c r="C34" s="1"/>
      <c r="D34" s="1"/>
      <c r="E34" s="1"/>
    </row>
    <row r="35" spans="1:12" s="13" customFormat="1" ht="12">
      <c r="A35" s="9" t="s">
        <v>116</v>
      </c>
      <c r="B35" s="9"/>
      <c r="C35" s="10">
        <v>1.1</v>
      </c>
      <c r="D35" s="10">
        <v>1.1</v>
      </c>
      <c r="E35" s="10">
        <v>1.1</v>
      </c>
      <c r="G35" s="13" t="s">
        <v>194</v>
      </c>
      <c r="J35" s="16"/>
      <c r="K35" s="16"/>
      <c r="L35" s="16"/>
    </row>
    <row r="36" spans="1:12" s="13" customFormat="1" ht="12">
      <c r="A36" s="9" t="s">
        <v>117</v>
      </c>
      <c r="B36" s="9"/>
      <c r="C36" s="10">
        <v>1.1</v>
      </c>
      <c r="D36" s="10">
        <v>1.1</v>
      </c>
      <c r="E36" s="10">
        <v>1.1</v>
      </c>
      <c r="G36" s="13" t="s">
        <v>91</v>
      </c>
      <c r="J36" s="16"/>
      <c r="K36" s="16"/>
      <c r="L36" s="16"/>
    </row>
    <row r="37" spans="1:5" s="13" customFormat="1" ht="12">
      <c r="A37" s="4" t="s">
        <v>103</v>
      </c>
      <c r="B37" s="4" t="s">
        <v>206</v>
      </c>
      <c r="C37" s="8">
        <f>(C27+C30)*C35+C28*C36</f>
        <v>33.515585960578726</v>
      </c>
      <c r="D37" s="8">
        <f>(D27+D30)*D35+D28*D36</f>
        <v>3.3727884842666667</v>
      </c>
      <c r="E37" s="8">
        <f>(E27+E30)*E35+E28*E36</f>
        <v>2.621371241066021</v>
      </c>
    </row>
    <row r="38" spans="1:5" s="13" customFormat="1" ht="12">
      <c r="A38" s="1" t="s">
        <v>104</v>
      </c>
      <c r="B38" s="1" t="s">
        <v>7</v>
      </c>
      <c r="C38" s="5">
        <f>C37*1000/(C19-C15)</f>
        <v>160.6075616282285</v>
      </c>
      <c r="D38" s="5">
        <f>D37*1000/(D19-D15)</f>
        <v>105.23521011752472</v>
      </c>
      <c r="E38" s="5">
        <f>E37*1000/(E19-E15)</f>
        <v>126.89990032754132</v>
      </c>
    </row>
    <row r="39" spans="1:9" ht="12.75">
      <c r="A39" s="4" t="s">
        <v>2</v>
      </c>
      <c r="B39" s="4" t="s">
        <v>206</v>
      </c>
      <c r="C39" s="6">
        <f>C38*(300*(C20-C16)-(C19-C15))/1000</f>
        <v>154.33882074067125</v>
      </c>
      <c r="D39" s="6">
        <f>D38*(300*(D20-D16)-(D19-D15))/1000</f>
        <v>160.22586916443728</v>
      </c>
      <c r="E39" s="6">
        <f>E38*(300*(E20-E16)-(E19-E15))/1000</f>
        <v>405.4125682721103</v>
      </c>
      <c r="F39" s="13"/>
      <c r="H39" s="13"/>
      <c r="I39" s="13"/>
    </row>
    <row r="40" spans="1:10" ht="12.75">
      <c r="A40" s="4" t="s">
        <v>150</v>
      </c>
      <c r="B40" s="4" t="s">
        <v>206</v>
      </c>
      <c r="C40" s="6">
        <f>C39/65.66</f>
        <v>2.3505760088436074</v>
      </c>
      <c r="D40" s="6">
        <f>D39/65.66</f>
        <v>2.440235594950309</v>
      </c>
      <c r="E40" s="6">
        <f>E39/65.66</f>
        <v>6.174422300824099</v>
      </c>
      <c r="F40" s="13"/>
      <c r="H40" s="13" t="s">
        <v>108</v>
      </c>
      <c r="I40" s="13"/>
      <c r="J40" s="13"/>
    </row>
    <row r="41" spans="1:10" ht="12.75">
      <c r="A41" s="9" t="s">
        <v>93</v>
      </c>
      <c r="B41" s="9"/>
      <c r="C41" s="10">
        <v>0.28</v>
      </c>
      <c r="D41" s="10">
        <v>0.24</v>
      </c>
      <c r="E41" s="10">
        <v>0.22</v>
      </c>
      <c r="F41" s="13"/>
      <c r="H41" s="25" t="s">
        <v>105</v>
      </c>
      <c r="I41" s="25" t="s">
        <v>106</v>
      </c>
      <c r="J41" s="25" t="s">
        <v>202</v>
      </c>
    </row>
    <row r="42" spans="1:10" ht="12.75">
      <c r="A42" s="4" t="s">
        <v>94</v>
      </c>
      <c r="B42" s="4" t="s">
        <v>95</v>
      </c>
      <c r="C42" s="6">
        <f>(C39/C37)/C41</f>
        <v>16.446380341437656</v>
      </c>
      <c r="D42" s="6">
        <f>(D39/D37)/D41</f>
        <v>197.93941757670314</v>
      </c>
      <c r="E42" s="6">
        <f>(E39/E37)/E41</f>
        <v>702.9849005619931</v>
      </c>
      <c r="F42" s="13"/>
      <c r="G42" s="25" t="s">
        <v>109</v>
      </c>
      <c r="H42" s="28">
        <v>17</v>
      </c>
      <c r="I42" s="28">
        <v>168</v>
      </c>
      <c r="J42" s="28">
        <v>588</v>
      </c>
    </row>
    <row r="43" spans="1:10" ht="12.75">
      <c r="A43" s="4" t="s">
        <v>129</v>
      </c>
      <c r="B43" s="4" t="s">
        <v>206</v>
      </c>
      <c r="C43" s="6">
        <f>C33/C41</f>
        <v>501.10006733984164</v>
      </c>
      <c r="D43" s="6">
        <f>D33/D41</f>
        <v>606.916171077414</v>
      </c>
      <c r="E43" s="6">
        <f>E33/E41</f>
        <v>1675.2585465789675</v>
      </c>
      <c r="F43" s="13"/>
      <c r="G43" s="25" t="s">
        <v>110</v>
      </c>
      <c r="H43" s="28">
        <v>20</v>
      </c>
      <c r="I43" s="28">
        <v>220</v>
      </c>
      <c r="J43" s="28">
        <v>870</v>
      </c>
    </row>
    <row r="44" spans="1:11" ht="12.75">
      <c r="A44" s="4" t="s">
        <v>3</v>
      </c>
      <c r="B44" s="4" t="s">
        <v>206</v>
      </c>
      <c r="C44" s="6">
        <f>C39/C41</f>
        <v>551.2100740738258</v>
      </c>
      <c r="D44" s="6">
        <f>D39/D41</f>
        <v>667.6077881851554</v>
      </c>
      <c r="E44" s="6">
        <f>E39/E41</f>
        <v>1842.784401236865</v>
      </c>
      <c r="F44" s="13"/>
      <c r="G44" s="25" t="s">
        <v>69</v>
      </c>
      <c r="H44" s="13">
        <v>16.5</v>
      </c>
      <c r="I44" s="13">
        <v>200</v>
      </c>
      <c r="J44" s="13">
        <v>700</v>
      </c>
      <c r="K44" t="s">
        <v>70</v>
      </c>
    </row>
    <row r="45" spans="1:10" ht="12.75">
      <c r="A45" s="4"/>
      <c r="B45" s="4"/>
      <c r="C45" s="6"/>
      <c r="D45" s="6"/>
      <c r="E45" s="6"/>
      <c r="G45" s="25" t="s">
        <v>107</v>
      </c>
      <c r="H45" s="79">
        <f>C42</f>
        <v>16.446380341437656</v>
      </c>
      <c r="I45" s="79">
        <f>D42</f>
        <v>197.93941757670314</v>
      </c>
      <c r="J45" s="79">
        <f>E42</f>
        <v>702.9849005619931</v>
      </c>
    </row>
    <row r="46" spans="1:9" ht="12.75">
      <c r="A46" s="9" t="s">
        <v>86</v>
      </c>
      <c r="B46" s="9"/>
      <c r="C46" s="10">
        <v>1.4</v>
      </c>
      <c r="D46" s="10">
        <v>1.4</v>
      </c>
      <c r="E46" s="10">
        <v>1.4</v>
      </c>
      <c r="G46" s="13" t="s">
        <v>41</v>
      </c>
      <c r="H46" s="13"/>
      <c r="I46" s="13"/>
    </row>
    <row r="47" spans="1:10" s="16" customFormat="1" ht="12">
      <c r="A47" s="4" t="s">
        <v>205</v>
      </c>
      <c r="B47" s="4"/>
      <c r="C47" s="5">
        <f>C37/C31*C46</f>
        <v>1.54</v>
      </c>
      <c r="D47" s="5">
        <f>D37/D31*D46</f>
        <v>1.54</v>
      </c>
      <c r="E47" s="5">
        <f>E37/E31*E46</f>
        <v>1.54</v>
      </c>
      <c r="G47" s="25" t="s">
        <v>115</v>
      </c>
      <c r="H47" s="76">
        <f>(C49+D49+E49)/(C49/C47+D49/D47+E49/E47)</f>
        <v>1.54</v>
      </c>
      <c r="I47" s="77" t="s">
        <v>61</v>
      </c>
      <c r="J47" s="76">
        <v>1.5</v>
      </c>
    </row>
    <row r="48" spans="1:8" s="16" customFormat="1" ht="12">
      <c r="A48" s="4" t="s">
        <v>124</v>
      </c>
      <c r="B48" s="4" t="s">
        <v>206</v>
      </c>
      <c r="C48" s="5">
        <f>C37*C46</f>
        <v>46.921820344810214</v>
      </c>
      <c r="D48" s="5">
        <f>D37*D46</f>
        <v>4.721903877973333</v>
      </c>
      <c r="E48" s="5">
        <f>E37*E46</f>
        <v>3.669919737492429</v>
      </c>
      <c r="F48" s="17"/>
      <c r="G48" s="29"/>
      <c r="H48" s="17"/>
    </row>
    <row r="49" spans="1:9" ht="12.75">
      <c r="A49" s="4" t="s">
        <v>96</v>
      </c>
      <c r="B49" s="4" t="s">
        <v>206</v>
      </c>
      <c r="C49" s="6">
        <f>C44*C46</f>
        <v>771.6941037033561</v>
      </c>
      <c r="D49" s="6">
        <f>D44*D46</f>
        <v>934.6509034592175</v>
      </c>
      <c r="E49" s="6">
        <f>E44*E46</f>
        <v>2579.898161731611</v>
      </c>
      <c r="F49" s="13"/>
      <c r="H49" s="13"/>
      <c r="I49" s="13"/>
    </row>
    <row r="50" spans="1:6" ht="12.75">
      <c r="A50" s="4" t="s">
        <v>180</v>
      </c>
      <c r="B50" s="4" t="s">
        <v>206</v>
      </c>
      <c r="C50" s="6">
        <f>C49/(65.66/0.3)</f>
        <v>3.52586401326541</v>
      </c>
      <c r="D50" s="6">
        <f>D49/(65.66/0.3)</f>
        <v>4.270412291163041</v>
      </c>
      <c r="E50" s="6">
        <f>E49/(65.66/0.3)</f>
        <v>11.78753348339146</v>
      </c>
      <c r="F50" s="13"/>
    </row>
    <row r="51" spans="1:6" ht="12.75">
      <c r="A51" s="4" t="s">
        <v>42</v>
      </c>
      <c r="B51" s="4" t="s">
        <v>43</v>
      </c>
      <c r="C51" s="6">
        <f>C50/G7</f>
        <v>1.426172699455643</v>
      </c>
      <c r="D51" s="6">
        <f>D50/G7</f>
        <v>1.7273341802641156</v>
      </c>
      <c r="E51" s="6">
        <f>E50/G7</f>
        <v>4.767925928136674</v>
      </c>
      <c r="F51" s="13"/>
    </row>
    <row r="52" spans="1:6" ht="12.75">
      <c r="A52" s="4" t="s">
        <v>44</v>
      </c>
      <c r="B52" s="4"/>
      <c r="C52" s="11">
        <f>C49/(D56*1000)</f>
        <v>0.18003973953312752</v>
      </c>
      <c r="D52" s="11">
        <f>D49/(D56*1000)</f>
        <v>0.2180583010880248</v>
      </c>
      <c r="E52" s="11">
        <f>E49/(D56*1000)</f>
        <v>0.6019019593788477</v>
      </c>
      <c r="F52" s="13"/>
    </row>
    <row r="53" spans="1:6" ht="12.75">
      <c r="A53" s="4"/>
      <c r="B53" s="4"/>
      <c r="C53" s="11"/>
      <c r="D53" s="11"/>
      <c r="E53" s="11"/>
      <c r="F53" s="13"/>
    </row>
    <row r="54" spans="1:6" ht="12.75">
      <c r="A54" s="4" t="s">
        <v>114</v>
      </c>
      <c r="B54" s="4"/>
      <c r="C54" s="11"/>
      <c r="D54" s="5">
        <f>(C43+D43+E43)*1.2/1000</f>
        <v>3.339929741995468</v>
      </c>
      <c r="E54" s="11"/>
      <c r="F54" s="13" t="s">
        <v>178</v>
      </c>
    </row>
    <row r="55" spans="1:6" ht="12.75">
      <c r="A55" s="4" t="s">
        <v>53</v>
      </c>
      <c r="B55" s="4"/>
      <c r="C55" s="6"/>
      <c r="D55" s="5">
        <f>(C44+D44+E44)*1.2/1000</f>
        <v>3.6739227161950154</v>
      </c>
      <c r="E55" s="6"/>
      <c r="F55" s="13" t="s">
        <v>178</v>
      </c>
    </row>
    <row r="56" spans="1:6" ht="12.75">
      <c r="A56" s="4" t="s">
        <v>54</v>
      </c>
      <c r="B56" s="4"/>
      <c r="C56" s="4"/>
      <c r="D56" s="5">
        <f>(C49+D49+E49)/1000</f>
        <v>4.286243168894185</v>
      </c>
      <c r="E56" s="6"/>
      <c r="F56" s="13"/>
    </row>
    <row r="57" spans="1:6" ht="12.75">
      <c r="A57" s="4" t="s">
        <v>98</v>
      </c>
      <c r="B57" s="4"/>
      <c r="C57" s="4"/>
      <c r="D57" s="5">
        <f>C50+D50+E50</f>
        <v>19.58380978781991</v>
      </c>
      <c r="E57" s="6"/>
      <c r="F57" s="13"/>
    </row>
    <row r="58" spans="1:6" ht="12.75">
      <c r="A58" s="4" t="s">
        <v>204</v>
      </c>
      <c r="B58" s="4"/>
      <c r="C58" s="4"/>
      <c r="D58" s="5">
        <f>D57/25</f>
        <v>0.7833523915127963</v>
      </c>
      <c r="E58" s="6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</sheetData>
  <sheetProtection/>
  <printOptions/>
  <pageMargins left="0.75" right="0.75" top="1" bottom="1" header="0.5" footer="0.5"/>
  <pageSetup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7">
      <selection activeCell="A26" sqref="A26"/>
    </sheetView>
  </sheetViews>
  <sheetFormatPr defaultColWidth="11.00390625" defaultRowHeight="12.75"/>
  <cols>
    <col min="1" max="1" width="39.875" style="0" customWidth="1"/>
    <col min="2" max="2" width="9.625" style="0" customWidth="1"/>
    <col min="3" max="3" width="13.25390625" style="0" bestFit="1" customWidth="1"/>
    <col min="4" max="4" width="13.25390625" style="0" customWidth="1"/>
    <col min="5" max="5" width="13.25390625" style="0" bestFit="1" customWidth="1"/>
    <col min="6" max="6" width="8.25390625" style="0" customWidth="1"/>
    <col min="7" max="7" width="10.75390625" style="13" customWidth="1"/>
  </cols>
  <sheetData>
    <row r="1" spans="1:4" s="13" customFormat="1" ht="12">
      <c r="A1" s="15" t="s">
        <v>89</v>
      </c>
      <c r="B1" s="2"/>
      <c r="C1" s="2"/>
      <c r="D1" s="2" t="s">
        <v>179</v>
      </c>
    </row>
    <row r="2" spans="1:4" s="13" customFormat="1" ht="12">
      <c r="A2" s="19" t="s">
        <v>160</v>
      </c>
      <c r="B2" s="1"/>
      <c r="C2" s="1"/>
      <c r="D2" s="1"/>
    </row>
    <row r="3" spans="1:5" s="13" customFormat="1" ht="12">
      <c r="A3" s="19" t="s">
        <v>137</v>
      </c>
      <c r="B3" s="20" t="s">
        <v>40</v>
      </c>
      <c r="C3" s="1"/>
      <c r="D3" s="1"/>
      <c r="E3" s="18"/>
    </row>
    <row r="4" spans="1:4" s="13" customFormat="1" ht="12">
      <c r="A4" s="3"/>
      <c r="B4" s="13" t="s">
        <v>203</v>
      </c>
      <c r="C4" s="1"/>
      <c r="D4" s="1"/>
    </row>
    <row r="5" spans="1:4" s="13" customFormat="1" ht="12">
      <c r="A5" s="3"/>
      <c r="B5" s="13" t="s">
        <v>31</v>
      </c>
      <c r="C5" s="1"/>
      <c r="D5" s="1"/>
    </row>
    <row r="6" spans="1:7" s="13" customFormat="1" ht="12">
      <c r="A6" s="3"/>
      <c r="B6" s="13" t="s">
        <v>207</v>
      </c>
      <c r="C6" s="1"/>
      <c r="D6" s="1"/>
      <c r="G6" s="21" t="s">
        <v>57</v>
      </c>
    </row>
    <row r="7" spans="2:7" s="13" customFormat="1" ht="12.75">
      <c r="B7"/>
      <c r="C7" s="1"/>
      <c r="D7" s="1"/>
      <c r="G7" s="18">
        <f>(G14/3)*(2*G13+G12+625)/1000000</f>
        <v>2.472256</v>
      </c>
    </row>
    <row r="8" spans="1:4" s="13" customFormat="1" ht="16.5">
      <c r="A8" s="80" t="s">
        <v>60</v>
      </c>
      <c r="C8" s="2"/>
      <c r="D8" s="2"/>
    </row>
    <row r="9" spans="1:5" s="13" customFormat="1" ht="12">
      <c r="A9" s="3"/>
      <c r="B9" s="1"/>
      <c r="C9" s="1"/>
      <c r="D9" s="1"/>
      <c r="E9" s="1"/>
    </row>
    <row r="10" spans="1:7" s="13" customFormat="1" ht="12">
      <c r="A10" s="1"/>
      <c r="B10" s="1"/>
      <c r="C10" s="2" t="s">
        <v>90</v>
      </c>
      <c r="D10" s="2" t="s">
        <v>201</v>
      </c>
      <c r="E10" s="2" t="s">
        <v>202</v>
      </c>
      <c r="G10" s="13" t="s">
        <v>88</v>
      </c>
    </row>
    <row r="11" spans="1:7" s="13" customFormat="1" ht="12">
      <c r="A11" s="1"/>
      <c r="B11" s="1"/>
      <c r="C11" s="1" t="s">
        <v>78</v>
      </c>
      <c r="D11" s="1" t="s">
        <v>78</v>
      </c>
      <c r="E11" s="1" t="s">
        <v>78</v>
      </c>
      <c r="G11" s="13" t="s">
        <v>32</v>
      </c>
    </row>
    <row r="12" spans="1:8" s="13" customFormat="1" ht="12">
      <c r="A12" s="1"/>
      <c r="B12" s="1"/>
      <c r="C12" s="1" t="s">
        <v>79</v>
      </c>
      <c r="D12" s="1" t="s">
        <v>80</v>
      </c>
      <c r="E12" s="1" t="s">
        <v>79</v>
      </c>
      <c r="G12" s="23">
        <v>12668</v>
      </c>
      <c r="H12" s="13" t="s">
        <v>148</v>
      </c>
    </row>
    <row r="13" spans="1:8" s="13" customFormat="1" ht="12">
      <c r="A13" s="9" t="s">
        <v>81</v>
      </c>
      <c r="B13" s="9" t="s">
        <v>82</v>
      </c>
      <c r="C13" s="10">
        <v>40</v>
      </c>
      <c r="D13" s="12">
        <v>5</v>
      </c>
      <c r="E13" s="12">
        <v>2.4</v>
      </c>
      <c r="G13" s="23">
        <v>12668</v>
      </c>
      <c r="H13" s="13" t="s">
        <v>138</v>
      </c>
    </row>
    <row r="14" spans="1:10" s="13" customFormat="1" ht="12">
      <c r="A14" s="9" t="s">
        <v>83</v>
      </c>
      <c r="B14" s="9" t="s">
        <v>84</v>
      </c>
      <c r="C14" s="12">
        <v>16</v>
      </c>
      <c r="D14" s="12">
        <v>5</v>
      </c>
      <c r="E14" s="12">
        <v>1.2</v>
      </c>
      <c r="G14" s="24">
        <v>192</v>
      </c>
      <c r="H14" s="13" t="s">
        <v>45</v>
      </c>
      <c r="J14" s="22"/>
    </row>
    <row r="15" spans="1:8" s="13" customFormat="1" ht="12.75">
      <c r="A15" s="4" t="s">
        <v>85</v>
      </c>
      <c r="B15" s="4" t="s">
        <v>195</v>
      </c>
      <c r="C15" s="6">
        <f>15.1+5.217*C13</f>
        <v>223.77999999999997</v>
      </c>
      <c r="D15" s="6">
        <v>14.66</v>
      </c>
      <c r="E15" s="7">
        <v>4.383</v>
      </c>
      <c r="G15"/>
      <c r="H15"/>
    </row>
    <row r="16" spans="1:8" s="13" customFormat="1" ht="12.75">
      <c r="A16" s="4" t="s">
        <v>196</v>
      </c>
      <c r="B16" s="4" t="s">
        <v>197</v>
      </c>
      <c r="C16" s="6">
        <f>2.0234-5.0309*LOG(C14)+(11.953+0.008775*C14)*LOG(C13)</f>
        <v>15.339945078381884</v>
      </c>
      <c r="D16" s="6">
        <v>3.901</v>
      </c>
      <c r="E16" s="7">
        <v>1.862</v>
      </c>
      <c r="G16"/>
      <c r="H16"/>
    </row>
    <row r="17" spans="1:7" s="13" customFormat="1" ht="12">
      <c r="A17" s="9" t="s">
        <v>130</v>
      </c>
      <c r="B17" s="9" t="s">
        <v>82</v>
      </c>
      <c r="C17" s="10">
        <v>80</v>
      </c>
      <c r="D17" s="12">
        <v>8</v>
      </c>
      <c r="E17" s="12">
        <v>2</v>
      </c>
      <c r="G17" s="14" t="s">
        <v>87</v>
      </c>
    </row>
    <row r="18" spans="1:7" s="13" customFormat="1" ht="12.75">
      <c r="A18" s="9" t="s">
        <v>131</v>
      </c>
      <c r="B18" s="9" t="s">
        <v>84</v>
      </c>
      <c r="C18" s="12">
        <v>14</v>
      </c>
      <c r="D18" s="12">
        <v>4</v>
      </c>
      <c r="E18" s="12" t="s">
        <v>132</v>
      </c>
      <c r="G18"/>
    </row>
    <row r="19" spans="1:7" s="13" customFormat="1" ht="12.75">
      <c r="A19" s="4" t="s">
        <v>133</v>
      </c>
      <c r="B19" s="4" t="s">
        <v>195</v>
      </c>
      <c r="C19" s="6">
        <f>15.1+5.217*C17</f>
        <v>432.46</v>
      </c>
      <c r="D19" s="6">
        <v>46.71</v>
      </c>
      <c r="E19" s="5">
        <v>25.04</v>
      </c>
      <c r="G19"/>
    </row>
    <row r="20" spans="1:7" s="13" customFormat="1" ht="12.75">
      <c r="A20" s="4" t="s">
        <v>134</v>
      </c>
      <c r="B20" s="4" t="s">
        <v>197</v>
      </c>
      <c r="C20" s="6">
        <f>2.0234-5.0309*LOG(C18)+(11.953+0.008775*C18)*LOG(C17)</f>
        <v>19.238773684723014</v>
      </c>
      <c r="D20" s="6">
        <v>9.083</v>
      </c>
      <c r="E20" s="5">
        <v>12.58</v>
      </c>
      <c r="G20"/>
    </row>
    <row r="21" spans="1:7" s="13" customFormat="1" ht="12.75">
      <c r="A21" s="4"/>
      <c r="B21" s="4"/>
      <c r="C21" s="6"/>
      <c r="D21" s="6"/>
      <c r="E21" s="6"/>
      <c r="G21"/>
    </row>
    <row r="22" spans="1:7" s="13" customFormat="1" ht="12.75">
      <c r="A22" s="4"/>
      <c r="B22" s="4"/>
      <c r="C22" s="2" t="s">
        <v>90</v>
      </c>
      <c r="D22" s="2" t="s">
        <v>201</v>
      </c>
      <c r="E22" s="2" t="s">
        <v>202</v>
      </c>
      <c r="G22"/>
    </row>
    <row r="23" spans="1:7" s="13" customFormat="1" ht="12.75">
      <c r="A23" s="4" t="s">
        <v>151</v>
      </c>
      <c r="B23" s="4" t="s">
        <v>135</v>
      </c>
      <c r="C23" s="41">
        <f>'CM_ HeatLoad'!G59</f>
        <v>75.04444444444445</v>
      </c>
      <c r="D23" s="26">
        <f>'CM_ HeatLoad'!G47</f>
        <v>10.817222222222222</v>
      </c>
      <c r="E23" s="26">
        <f>'CM_ HeatLoad'!G35</f>
        <v>1.323888888888889</v>
      </c>
      <c r="G23" s="13" t="s">
        <v>159</v>
      </c>
    </row>
    <row r="24" spans="1:5" s="13" customFormat="1" ht="12.75">
      <c r="A24" s="4" t="s">
        <v>152</v>
      </c>
      <c r="B24" s="4" t="s">
        <v>135</v>
      </c>
      <c r="C24" s="41">
        <f>'CM_ HeatLoad'!H59</f>
        <v>82.94891443325704</v>
      </c>
      <c r="D24" s="26">
        <f>'CM_ HeatLoad'!H47</f>
        <v>7.048999386945924</v>
      </c>
      <c r="E24" s="26">
        <f>'CM_ HeatLoad'!H35</f>
        <v>10.043561759838889</v>
      </c>
    </row>
    <row r="25" spans="1:5" s="13" customFormat="1" ht="12.75">
      <c r="A25"/>
      <c r="B25"/>
      <c r="C25"/>
      <c r="D25"/>
      <c r="E25"/>
    </row>
    <row r="26" spans="1:5" s="16" customFormat="1" ht="12">
      <c r="A26" s="4" t="s">
        <v>123</v>
      </c>
      <c r="B26" s="4"/>
      <c r="C26" s="6">
        <f>G14</f>
        <v>192</v>
      </c>
      <c r="D26" s="6">
        <f>C26</f>
        <v>192</v>
      </c>
      <c r="E26" s="6">
        <f>D26</f>
        <v>192</v>
      </c>
    </row>
    <row r="27" spans="1:5" s="13" customFormat="1" ht="12">
      <c r="A27" s="1" t="s">
        <v>111</v>
      </c>
      <c r="B27" s="1" t="s">
        <v>206</v>
      </c>
      <c r="C27" s="5">
        <f>C23*C26/1000</f>
        <v>14.408533333333335</v>
      </c>
      <c r="D27" s="5">
        <f>D23*D26/1000</f>
        <v>2.076906666666667</v>
      </c>
      <c r="E27" s="5">
        <f>E23*E26/1000</f>
        <v>0.25418666666666667</v>
      </c>
    </row>
    <row r="28" spans="1:5" s="13" customFormat="1" ht="12">
      <c r="A28" s="1" t="s">
        <v>74</v>
      </c>
      <c r="B28" s="1" t="s">
        <v>206</v>
      </c>
      <c r="C28" s="8">
        <f>C24*C26/1000</f>
        <v>15.926191571185353</v>
      </c>
      <c r="D28" s="8">
        <f>D24*D26/1000</f>
        <v>1.3534078822936175</v>
      </c>
      <c r="E28" s="8">
        <f>E24*E26/1000</f>
        <v>1.9283638578890667</v>
      </c>
    </row>
    <row r="29" spans="2:5" s="13" customFormat="1" ht="12">
      <c r="B29" s="1"/>
      <c r="C29" s="8"/>
      <c r="D29" s="8"/>
      <c r="E29" s="8"/>
    </row>
    <row r="30" spans="1:8" s="13" customFormat="1" ht="12">
      <c r="A30" s="9" t="s">
        <v>149</v>
      </c>
      <c r="B30" s="9" t="s">
        <v>206</v>
      </c>
      <c r="C30" s="12">
        <v>1</v>
      </c>
      <c r="D30" s="12">
        <v>0.2</v>
      </c>
      <c r="E30" s="12">
        <v>0.2</v>
      </c>
      <c r="G30" s="16" t="s">
        <v>75</v>
      </c>
      <c r="H30" s="16"/>
    </row>
    <row r="31" spans="1:8" s="13" customFormat="1" ht="12">
      <c r="A31" s="1" t="s">
        <v>6</v>
      </c>
      <c r="B31" s="1" t="s">
        <v>206</v>
      </c>
      <c r="C31" s="8">
        <f>C27+C28+C30</f>
        <v>31.334724904518687</v>
      </c>
      <c r="D31" s="8">
        <f>D27+D28+D30</f>
        <v>3.6303145489602846</v>
      </c>
      <c r="E31" s="8">
        <f>E27+E28+E30</f>
        <v>2.3825505245557337</v>
      </c>
      <c r="H31" s="13" t="s">
        <v>76</v>
      </c>
    </row>
    <row r="32" spans="1:8" s="13" customFormat="1" ht="12">
      <c r="A32" s="1" t="s">
        <v>113</v>
      </c>
      <c r="B32" s="1" t="s">
        <v>7</v>
      </c>
      <c r="C32" s="5">
        <f>C31*1000/(C19-C15)</f>
        <v>150.1568185955467</v>
      </c>
      <c r="D32" s="5">
        <f>D31*1000/(D19-D15)</f>
        <v>113.27034474135056</v>
      </c>
      <c r="E32" s="5">
        <f>E31*1000/(E19-E15)</f>
        <v>115.33865152518437</v>
      </c>
      <c r="H32" s="13" t="s">
        <v>77</v>
      </c>
    </row>
    <row r="33" spans="1:5" s="13" customFormat="1" ht="12">
      <c r="A33" s="1" t="s">
        <v>112</v>
      </c>
      <c r="B33" s="1" t="s">
        <v>206</v>
      </c>
      <c r="C33" s="6">
        <f>C32*(300*(C20-C16)-(C19-C15))/1000</f>
        <v>144.29598502872926</v>
      </c>
      <c r="D33" s="6">
        <f>D32*(300*(D20-D16)-(D19-D15))/1000</f>
        <v>172.45976338594332</v>
      </c>
      <c r="E33" s="6">
        <f>E32*(300*(E20-E16)-(E19-E15))/1000</f>
        <v>368.47734958952213</v>
      </c>
    </row>
    <row r="34" spans="1:5" s="13" customFormat="1" ht="12">
      <c r="A34" s="1"/>
      <c r="B34" s="1"/>
      <c r="C34" s="1"/>
      <c r="D34" s="1"/>
      <c r="E34" s="1"/>
    </row>
    <row r="35" spans="1:12" s="13" customFormat="1" ht="12">
      <c r="A35" s="9" t="s">
        <v>116</v>
      </c>
      <c r="B35" s="9"/>
      <c r="C35" s="10">
        <v>1.1</v>
      </c>
      <c r="D35" s="10">
        <v>1.1</v>
      </c>
      <c r="E35" s="10">
        <v>1.1</v>
      </c>
      <c r="G35" s="13" t="s">
        <v>194</v>
      </c>
      <c r="J35" s="16"/>
      <c r="K35" s="16"/>
      <c r="L35" s="16"/>
    </row>
    <row r="36" spans="1:12" s="13" customFormat="1" ht="12">
      <c r="A36" s="9" t="s">
        <v>117</v>
      </c>
      <c r="B36" s="9"/>
      <c r="C36" s="10">
        <v>1.1</v>
      </c>
      <c r="D36" s="10">
        <v>1.1</v>
      </c>
      <c r="E36" s="10">
        <v>1.1</v>
      </c>
      <c r="G36" s="13" t="s">
        <v>91</v>
      </c>
      <c r="J36" s="16"/>
      <c r="K36" s="16"/>
      <c r="L36" s="16"/>
    </row>
    <row r="37" spans="1:5" s="13" customFormat="1" ht="12">
      <c r="A37" s="4" t="s">
        <v>103</v>
      </c>
      <c r="B37" s="4" t="s">
        <v>206</v>
      </c>
      <c r="C37" s="8">
        <f>(C27+C30)*C35+C28*C36</f>
        <v>34.46819739497056</v>
      </c>
      <c r="D37" s="8">
        <f>(D27+D30)*D35+D28*D36</f>
        <v>3.9933460038563133</v>
      </c>
      <c r="E37" s="8">
        <f>(E27+E30)*E35+E28*E36</f>
        <v>2.620805577011307</v>
      </c>
    </row>
    <row r="38" spans="1:5" s="13" customFormat="1" ht="12">
      <c r="A38" s="1" t="s">
        <v>104</v>
      </c>
      <c r="B38" s="1" t="s">
        <v>7</v>
      </c>
      <c r="C38" s="5">
        <f>C37*1000/(C19-C15)</f>
        <v>165.17250045510139</v>
      </c>
      <c r="D38" s="5">
        <f>D37*1000/(D19-D15)</f>
        <v>124.59737921548562</v>
      </c>
      <c r="E38" s="5">
        <f>E37*1000/(E19-E15)</f>
        <v>126.8725166777028</v>
      </c>
    </row>
    <row r="39" spans="1:9" ht="12.75">
      <c r="A39" s="4" t="s">
        <v>2</v>
      </c>
      <c r="B39" s="4" t="s">
        <v>206</v>
      </c>
      <c r="C39" s="6">
        <f>C38*(300*(C20-C16)-(C19-C15))/1000</f>
        <v>158.7255835316022</v>
      </c>
      <c r="D39" s="6">
        <f>D38*(300*(D20-D16)-(D19-D15))/1000</f>
        <v>189.70573972453764</v>
      </c>
      <c r="E39" s="6">
        <f>E38*(300*(E20-E16)-(E19-E15))/1000</f>
        <v>405.3250845484743</v>
      </c>
      <c r="F39" s="13"/>
      <c r="H39" s="13"/>
      <c r="I39" s="13"/>
    </row>
    <row r="40" spans="1:10" ht="12.75">
      <c r="A40" s="4" t="s">
        <v>150</v>
      </c>
      <c r="B40" s="4" t="s">
        <v>206</v>
      </c>
      <c r="C40" s="6">
        <f>C39/65.66</f>
        <v>2.4173862858909874</v>
      </c>
      <c r="D40" s="6">
        <f>D39/65.66</f>
        <v>2.8892132154209205</v>
      </c>
      <c r="E40" s="6">
        <f>E39/65.66</f>
        <v>6.173089926111397</v>
      </c>
      <c r="F40" s="13"/>
      <c r="H40" s="13" t="s">
        <v>108</v>
      </c>
      <c r="I40" s="13"/>
      <c r="J40" s="13"/>
    </row>
    <row r="41" spans="1:10" ht="12.75">
      <c r="A41" s="9" t="s">
        <v>93</v>
      </c>
      <c r="B41" s="9"/>
      <c r="C41" s="10">
        <v>0.28</v>
      </c>
      <c r="D41" s="10">
        <v>0.24</v>
      </c>
      <c r="E41" s="10">
        <v>0.22</v>
      </c>
      <c r="F41" s="13"/>
      <c r="H41" s="25" t="s">
        <v>105</v>
      </c>
      <c r="I41" s="25" t="s">
        <v>106</v>
      </c>
      <c r="J41" s="25" t="s">
        <v>202</v>
      </c>
    </row>
    <row r="42" spans="1:10" ht="12.75">
      <c r="A42" s="4" t="s">
        <v>94</v>
      </c>
      <c r="B42" s="4" t="s">
        <v>95</v>
      </c>
      <c r="C42" s="6">
        <f>(C39/C37)/C41</f>
        <v>16.446380341437656</v>
      </c>
      <c r="D42" s="6">
        <f>(D39/D37)/D41</f>
        <v>197.93941757670314</v>
      </c>
      <c r="E42" s="6">
        <f>(E39/E37)/E41</f>
        <v>702.9849005619931</v>
      </c>
      <c r="F42" s="13"/>
      <c r="G42" s="25" t="s">
        <v>109</v>
      </c>
      <c r="H42" s="28">
        <v>17</v>
      </c>
      <c r="I42" s="28">
        <v>168</v>
      </c>
      <c r="J42" s="28">
        <v>588</v>
      </c>
    </row>
    <row r="43" spans="1:10" ht="12.75">
      <c r="A43" s="4" t="s">
        <v>129</v>
      </c>
      <c r="B43" s="4" t="s">
        <v>206</v>
      </c>
      <c r="C43" s="6">
        <f>C33/C41</f>
        <v>515.342803674033</v>
      </c>
      <c r="D43" s="6">
        <f>D33/D41</f>
        <v>718.5823474414306</v>
      </c>
      <c r="E43" s="6">
        <f>E33/E41</f>
        <v>1674.897043588737</v>
      </c>
      <c r="F43" s="13"/>
      <c r="G43" s="25" t="s">
        <v>110</v>
      </c>
      <c r="H43" s="28">
        <v>20</v>
      </c>
      <c r="I43" s="28">
        <v>220</v>
      </c>
      <c r="J43" s="28">
        <v>870</v>
      </c>
    </row>
    <row r="44" spans="1:11" ht="12.75">
      <c r="A44" s="4" t="s">
        <v>3</v>
      </c>
      <c r="B44" s="4" t="s">
        <v>206</v>
      </c>
      <c r="C44" s="6">
        <f>C39/C41</f>
        <v>566.8770840414364</v>
      </c>
      <c r="D44" s="6">
        <f>D39/D41</f>
        <v>790.4405821855735</v>
      </c>
      <c r="E44" s="6">
        <f>E39/E41</f>
        <v>1842.3867479476105</v>
      </c>
      <c r="F44" s="13"/>
      <c r="G44" s="25" t="s">
        <v>69</v>
      </c>
      <c r="H44" s="13">
        <v>16.5</v>
      </c>
      <c r="I44" s="13">
        <v>200</v>
      </c>
      <c r="J44" s="13">
        <v>700</v>
      </c>
      <c r="K44" t="s">
        <v>70</v>
      </c>
    </row>
    <row r="45" spans="1:10" ht="12.75">
      <c r="A45" s="4"/>
      <c r="B45" s="4"/>
      <c r="C45" s="6"/>
      <c r="D45" s="6"/>
      <c r="E45" s="6"/>
      <c r="G45" s="25" t="s">
        <v>107</v>
      </c>
      <c r="H45" s="79">
        <f>C42</f>
        <v>16.446380341437656</v>
      </c>
      <c r="I45" s="79">
        <f>D42</f>
        <v>197.93941757670314</v>
      </c>
      <c r="J45" s="79">
        <f>E42</f>
        <v>702.9849005619931</v>
      </c>
    </row>
    <row r="46" spans="1:9" ht="12.75">
      <c r="A46" s="9" t="s">
        <v>86</v>
      </c>
      <c r="B46" s="9"/>
      <c r="C46" s="10">
        <v>1.4</v>
      </c>
      <c r="D46" s="10">
        <v>1.4</v>
      </c>
      <c r="E46" s="10">
        <v>1.4</v>
      </c>
      <c r="G46" s="13" t="s">
        <v>41</v>
      </c>
      <c r="H46" s="13"/>
      <c r="I46" s="13"/>
    </row>
    <row r="47" spans="1:10" s="16" customFormat="1" ht="12">
      <c r="A47" s="4" t="s">
        <v>205</v>
      </c>
      <c r="B47" s="4"/>
      <c r="C47" s="5">
        <f>C37/C31*C46</f>
        <v>1.54</v>
      </c>
      <c r="D47" s="5">
        <f>D37/D31*D46</f>
        <v>1.54</v>
      </c>
      <c r="E47" s="5">
        <f>E37/E31*E46</f>
        <v>1.54</v>
      </c>
      <c r="G47" s="25" t="s">
        <v>115</v>
      </c>
      <c r="H47" s="76">
        <f>(C49+D49+E49)/(C49/C47+D49/D47+E49/E47)</f>
        <v>1.54</v>
      </c>
      <c r="I47" s="77" t="s">
        <v>61</v>
      </c>
      <c r="J47" s="76">
        <v>1.5</v>
      </c>
    </row>
    <row r="48" spans="1:8" s="16" customFormat="1" ht="12">
      <c r="A48" s="4" t="s">
        <v>124</v>
      </c>
      <c r="B48" s="4" t="s">
        <v>206</v>
      </c>
      <c r="C48" s="5">
        <f>C37*C46</f>
        <v>48.25547635295878</v>
      </c>
      <c r="D48" s="5">
        <f>D37*D46</f>
        <v>5.5906844053988385</v>
      </c>
      <c r="E48" s="5">
        <f>E37*E46</f>
        <v>3.6691278078158294</v>
      </c>
      <c r="F48" s="17"/>
      <c r="G48" s="29"/>
      <c r="H48" s="17"/>
    </row>
    <row r="49" spans="1:9" ht="12.75">
      <c r="A49" s="4" t="s">
        <v>96</v>
      </c>
      <c r="B49" s="4" t="s">
        <v>206</v>
      </c>
      <c r="C49" s="6">
        <f>C44*C46</f>
        <v>793.6279176580109</v>
      </c>
      <c r="D49" s="6">
        <f>D44*D46</f>
        <v>1106.6168150598028</v>
      </c>
      <c r="E49" s="6">
        <f>E44*E46</f>
        <v>2579.3414471266547</v>
      </c>
      <c r="F49" s="13"/>
      <c r="H49" s="13"/>
      <c r="I49" s="13"/>
    </row>
    <row r="50" spans="1:6" ht="12.75">
      <c r="A50" s="4" t="s">
        <v>180</v>
      </c>
      <c r="B50" s="4" t="s">
        <v>206</v>
      </c>
      <c r="C50" s="6">
        <f>C49/(65.66/0.3)</f>
        <v>3.62607942883648</v>
      </c>
      <c r="D50" s="6">
        <f>D49/(65.66/0.3)</f>
        <v>5.05612312698661</v>
      </c>
      <c r="E50" s="6">
        <f>E49/(65.66/0.3)</f>
        <v>11.784989858939939</v>
      </c>
      <c r="F50" s="13"/>
    </row>
    <row r="51" spans="1:6" ht="12.75">
      <c r="A51" s="4" t="s">
        <v>42</v>
      </c>
      <c r="B51" s="4" t="s">
        <v>43</v>
      </c>
      <c r="C51" s="6">
        <f>C50/G7</f>
        <v>1.4667087182057523</v>
      </c>
      <c r="D51" s="6">
        <f>D50/G7</f>
        <v>2.045145457018452</v>
      </c>
      <c r="E51" s="6">
        <f>E50/G7</f>
        <v>4.766897060393398</v>
      </c>
      <c r="F51" s="13"/>
    </row>
    <row r="52" spans="1:6" ht="12.75">
      <c r="A52" s="4" t="s">
        <v>44</v>
      </c>
      <c r="B52" s="4"/>
      <c r="C52" s="11">
        <f>C49/(D56*1000)</f>
        <v>0.177165453636962</v>
      </c>
      <c r="D52" s="11">
        <f>D49/(D56*1000)</f>
        <v>0.24703550074311206</v>
      </c>
      <c r="E52" s="11">
        <f>E49/(D56*1000)</f>
        <v>0.5757990456199259</v>
      </c>
      <c r="F52" s="13"/>
    </row>
    <row r="53" spans="1:6" ht="12.75">
      <c r="A53" s="4"/>
      <c r="B53" s="4"/>
      <c r="C53" s="11"/>
      <c r="D53" s="11"/>
      <c r="E53" s="11"/>
      <c r="F53" s="13"/>
    </row>
    <row r="54" spans="1:6" ht="12.75">
      <c r="A54" s="4" t="s">
        <v>114</v>
      </c>
      <c r="B54" s="4"/>
      <c r="C54" s="11"/>
      <c r="D54" s="5">
        <f>(C43+D43+E43)*1.2/1000</f>
        <v>3.4905866336450404</v>
      </c>
      <c r="E54" s="11"/>
      <c r="F54" s="13" t="s">
        <v>178</v>
      </c>
    </row>
    <row r="55" spans="1:6" ht="12.75">
      <c r="A55" s="4" t="s">
        <v>53</v>
      </c>
      <c r="B55" s="4"/>
      <c r="C55" s="6"/>
      <c r="D55" s="5">
        <f>(C44+D44+E44)*1.2/1000</f>
        <v>3.8396452970095436</v>
      </c>
      <c r="E55" s="6"/>
      <c r="F55" s="13" t="s">
        <v>178</v>
      </c>
    </row>
    <row r="56" spans="1:6" ht="12.75">
      <c r="A56" s="4" t="s">
        <v>54</v>
      </c>
      <c r="B56" s="4"/>
      <c r="C56" s="4"/>
      <c r="D56" s="5">
        <f>(C49+D49+E49)/1000</f>
        <v>4.4795861798444685</v>
      </c>
      <c r="E56" s="6"/>
      <c r="F56" s="13"/>
    </row>
    <row r="57" spans="1:6" ht="12.75">
      <c r="A57" s="4" t="s">
        <v>98</v>
      </c>
      <c r="B57" s="4"/>
      <c r="C57" s="4"/>
      <c r="D57" s="5">
        <f>C50+D50+E50</f>
        <v>20.467192414763026</v>
      </c>
      <c r="E57" s="6"/>
      <c r="F57" s="13"/>
    </row>
    <row r="58" spans="1:6" ht="12.75">
      <c r="A58" s="4" t="s">
        <v>204</v>
      </c>
      <c r="B58" s="4"/>
      <c r="C58" s="4"/>
      <c r="D58" s="5">
        <f>D57/25</f>
        <v>0.8186876965905211</v>
      </c>
      <c r="E58" s="6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</sheetData>
  <sheetProtection/>
  <printOptions/>
  <pageMargins left="0.75" right="0.75" top="1" bottom="1" header="0.5" footer="0.5"/>
  <pageSetup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7">
      <selection activeCell="G24" sqref="G24"/>
    </sheetView>
  </sheetViews>
  <sheetFormatPr defaultColWidth="11.00390625" defaultRowHeight="12.75"/>
  <cols>
    <col min="1" max="1" width="39.875" style="0" customWidth="1"/>
    <col min="2" max="2" width="9.625" style="0" customWidth="1"/>
    <col min="3" max="3" width="13.25390625" style="0" bestFit="1" customWidth="1"/>
    <col min="4" max="4" width="13.25390625" style="0" customWidth="1"/>
    <col min="5" max="5" width="13.25390625" style="0" bestFit="1" customWidth="1"/>
    <col min="6" max="6" width="8.25390625" style="0" customWidth="1"/>
    <col min="7" max="7" width="16.25390625" style="13" customWidth="1"/>
  </cols>
  <sheetData>
    <row r="1" spans="1:4" s="13" customFormat="1" ht="12">
      <c r="A1" s="15" t="s">
        <v>89</v>
      </c>
      <c r="B1" s="2"/>
      <c r="C1" s="2"/>
      <c r="D1" s="2" t="s">
        <v>179</v>
      </c>
    </row>
    <row r="2" spans="1:4" s="13" customFormat="1" ht="12">
      <c r="A2" s="3">
        <v>39624</v>
      </c>
      <c r="B2" s="1"/>
      <c r="C2" s="1"/>
      <c r="D2" s="1"/>
    </row>
    <row r="3" spans="1:5" s="13" customFormat="1" ht="12">
      <c r="A3" s="19" t="s">
        <v>156</v>
      </c>
      <c r="B3" s="96" t="s">
        <v>215</v>
      </c>
      <c r="C3" s="1"/>
      <c r="D3" s="1"/>
      <c r="E3" s="18"/>
    </row>
    <row r="4" spans="1:4" s="13" customFormat="1" ht="12">
      <c r="A4" s="3"/>
      <c r="B4" s="105" t="s">
        <v>232</v>
      </c>
      <c r="C4" s="1"/>
      <c r="D4" s="1"/>
    </row>
    <row r="5" spans="1:4" s="13" customFormat="1" ht="12">
      <c r="A5" s="3"/>
      <c r="B5" s="13" t="s">
        <v>31</v>
      </c>
      <c r="C5" s="1"/>
      <c r="D5" s="1"/>
    </row>
    <row r="6" spans="1:7" s="13" customFormat="1" ht="12">
      <c r="A6" s="3"/>
      <c r="B6" s="13" t="s">
        <v>207</v>
      </c>
      <c r="C6" s="1"/>
      <c r="D6" s="1"/>
      <c r="G6" s="21" t="s">
        <v>57</v>
      </c>
    </row>
    <row r="7" spans="1:7" s="13" customFormat="1" ht="12.75">
      <c r="A7" s="3"/>
      <c r="B7"/>
      <c r="C7" s="1"/>
      <c r="D7" s="1"/>
      <c r="G7" s="18">
        <f>(G14/3)*(2*G13+G12+625)/1000000</f>
        <v>2.008708</v>
      </c>
    </row>
    <row r="8" spans="1:4" s="13" customFormat="1" ht="16.5">
      <c r="A8" s="80" t="s">
        <v>60</v>
      </c>
      <c r="C8" s="2"/>
      <c r="D8" s="2"/>
    </row>
    <row r="9" spans="1:5" s="13" customFormat="1" ht="12">
      <c r="A9" s="3"/>
      <c r="B9" s="1"/>
      <c r="C9" s="1"/>
      <c r="D9" s="1"/>
      <c r="E9" s="1"/>
    </row>
    <row r="10" spans="1:7" s="13" customFormat="1" ht="12">
      <c r="A10" s="1"/>
      <c r="B10" s="1"/>
      <c r="C10" s="2" t="s">
        <v>90</v>
      </c>
      <c r="D10" s="2" t="s">
        <v>201</v>
      </c>
      <c r="E10" s="2" t="s">
        <v>202</v>
      </c>
      <c r="G10" s="13" t="s">
        <v>88</v>
      </c>
    </row>
    <row r="11" spans="1:7" s="13" customFormat="1" ht="12">
      <c r="A11" s="1"/>
      <c r="B11" s="1"/>
      <c r="C11" s="1" t="s">
        <v>78</v>
      </c>
      <c r="D11" s="1" t="s">
        <v>78</v>
      </c>
      <c r="E11" s="1" t="s">
        <v>78</v>
      </c>
      <c r="G11" s="13" t="s">
        <v>207</v>
      </c>
    </row>
    <row r="12" spans="1:8" s="13" customFormat="1" ht="12">
      <c r="A12" s="1"/>
      <c r="B12" s="1"/>
      <c r="C12" s="1" t="s">
        <v>79</v>
      </c>
      <c r="D12" s="1" t="s">
        <v>80</v>
      </c>
      <c r="E12" s="1" t="s">
        <v>79</v>
      </c>
      <c r="G12" s="23">
        <v>12668</v>
      </c>
      <c r="H12" s="13" t="s">
        <v>148</v>
      </c>
    </row>
    <row r="13" spans="1:8" s="13" customFormat="1" ht="12">
      <c r="A13" s="9" t="s">
        <v>81</v>
      </c>
      <c r="B13" s="9" t="s">
        <v>82</v>
      </c>
      <c r="C13" s="10">
        <v>40</v>
      </c>
      <c r="D13" s="12">
        <v>5</v>
      </c>
      <c r="E13" s="12">
        <v>2.4</v>
      </c>
      <c r="G13" s="23">
        <v>12668</v>
      </c>
      <c r="H13" s="13" t="s">
        <v>138</v>
      </c>
    </row>
    <row r="14" spans="1:10" s="13" customFormat="1" ht="12">
      <c r="A14" s="9" t="s">
        <v>83</v>
      </c>
      <c r="B14" s="9" t="s">
        <v>84</v>
      </c>
      <c r="C14" s="12">
        <v>16</v>
      </c>
      <c r="D14" s="12">
        <v>5</v>
      </c>
      <c r="E14" s="12">
        <v>1.2</v>
      </c>
      <c r="G14" s="24">
        <v>156</v>
      </c>
      <c r="H14" s="13" t="s">
        <v>45</v>
      </c>
      <c r="J14" s="22"/>
    </row>
    <row r="15" spans="1:8" s="13" customFormat="1" ht="12.75">
      <c r="A15" s="4" t="s">
        <v>85</v>
      </c>
      <c r="B15" s="4" t="s">
        <v>195</v>
      </c>
      <c r="C15" s="6">
        <f>15.1+5.217*C13</f>
        <v>223.77999999999997</v>
      </c>
      <c r="D15" s="6">
        <v>14.66</v>
      </c>
      <c r="E15" s="7">
        <v>4.383</v>
      </c>
      <c r="G15"/>
      <c r="H15" s="13" t="s">
        <v>121</v>
      </c>
    </row>
    <row r="16" spans="1:8" s="13" customFormat="1" ht="12.75">
      <c r="A16" s="4" t="s">
        <v>196</v>
      </c>
      <c r="B16" s="4" t="s">
        <v>197</v>
      </c>
      <c r="C16" s="6">
        <f>2.0234-5.0309*LOG(C14)+(11.953+0.008775*C14)*LOG(C13)</f>
        <v>15.339945078381884</v>
      </c>
      <c r="D16" s="6">
        <v>3.901</v>
      </c>
      <c r="E16" s="7">
        <v>1.862</v>
      </c>
      <c r="G16"/>
      <c r="H16"/>
    </row>
    <row r="17" spans="1:7" s="13" customFormat="1" ht="12">
      <c r="A17" s="9" t="s">
        <v>130</v>
      </c>
      <c r="B17" s="9" t="s">
        <v>82</v>
      </c>
      <c r="C17" s="10">
        <v>80</v>
      </c>
      <c r="D17" s="12">
        <v>8</v>
      </c>
      <c r="E17" s="12">
        <v>2</v>
      </c>
      <c r="G17" s="14" t="s">
        <v>87</v>
      </c>
    </row>
    <row r="18" spans="1:7" s="13" customFormat="1" ht="12.75">
      <c r="A18" s="9" t="s">
        <v>131</v>
      </c>
      <c r="B18" s="9" t="s">
        <v>84</v>
      </c>
      <c r="C18" s="12">
        <v>14</v>
      </c>
      <c r="D18" s="12">
        <v>4</v>
      </c>
      <c r="E18" s="12" t="s">
        <v>132</v>
      </c>
      <c r="G18"/>
    </row>
    <row r="19" spans="1:7" s="13" customFormat="1" ht="12.75">
      <c r="A19" s="4" t="s">
        <v>133</v>
      </c>
      <c r="B19" s="4" t="s">
        <v>195</v>
      </c>
      <c r="C19" s="6">
        <f>15.1+5.217*C17</f>
        <v>432.46</v>
      </c>
      <c r="D19" s="6">
        <v>46.71</v>
      </c>
      <c r="E19" s="5">
        <v>25.04</v>
      </c>
      <c r="G19"/>
    </row>
    <row r="20" spans="1:7" s="13" customFormat="1" ht="12.75">
      <c r="A20" s="4" t="s">
        <v>134</v>
      </c>
      <c r="B20" s="4" t="s">
        <v>197</v>
      </c>
      <c r="C20" s="6">
        <f>2.0234-5.0309*LOG(C18)+(11.953+0.008775*C18)*LOG(C17)</f>
        <v>19.238773684723014</v>
      </c>
      <c r="D20" s="6">
        <v>9.083</v>
      </c>
      <c r="E20" s="5">
        <v>12.58</v>
      </c>
      <c r="G20"/>
    </row>
    <row r="21" spans="1:7" s="13" customFormat="1" ht="12.75">
      <c r="A21" s="4"/>
      <c r="B21" s="4"/>
      <c r="C21" s="6"/>
      <c r="D21" s="6"/>
      <c r="E21" s="6"/>
      <c r="G21"/>
    </row>
    <row r="22" spans="1:7" s="13" customFormat="1" ht="12.75">
      <c r="A22" s="4"/>
      <c r="B22" s="4"/>
      <c r="C22" s="2" t="s">
        <v>90</v>
      </c>
      <c r="D22" s="2" t="s">
        <v>201</v>
      </c>
      <c r="E22" s="2" t="s">
        <v>202</v>
      </c>
      <c r="G22"/>
    </row>
    <row r="23" spans="1:5" s="13" customFormat="1" ht="12.75">
      <c r="A23" s="4" t="s">
        <v>151</v>
      </c>
      <c r="B23" s="4" t="s">
        <v>135</v>
      </c>
      <c r="C23" s="41">
        <f>'CM_ HeatLoad'!I59</f>
        <v>75.04444444444445</v>
      </c>
      <c r="D23" s="26">
        <f>'CM_ HeatLoad'!I47</f>
        <v>10.817222222222222</v>
      </c>
      <c r="E23" s="26">
        <f>'CM_ HeatLoad'!I35</f>
        <v>1.323888888888889</v>
      </c>
    </row>
    <row r="24" spans="1:7" s="13" customFormat="1" ht="12.75">
      <c r="A24" s="4" t="s">
        <v>152</v>
      </c>
      <c r="B24" s="4" t="s">
        <v>135</v>
      </c>
      <c r="C24" s="41">
        <f>'CM_ HeatLoad'!J59</f>
        <v>58.796940340481484</v>
      </c>
      <c r="D24" s="26">
        <f>'CM_ HeatLoad'!J47</f>
        <v>5.047540157542794</v>
      </c>
      <c r="E24" s="26">
        <f>'CM_ HeatLoad'!J35</f>
        <v>9.785225192730863</v>
      </c>
      <c r="G24" s="13" t="s">
        <v>159</v>
      </c>
    </row>
    <row r="25" spans="1:5" s="13" customFormat="1" ht="12.75">
      <c r="A25"/>
      <c r="B25"/>
      <c r="C25"/>
      <c r="D25"/>
      <c r="E25"/>
    </row>
    <row r="26" spans="1:5" s="16" customFormat="1" ht="12">
      <c r="A26" s="4" t="s">
        <v>123</v>
      </c>
      <c r="B26" s="4"/>
      <c r="C26" s="6">
        <f>G14</f>
        <v>156</v>
      </c>
      <c r="D26" s="6">
        <f>C26</f>
        <v>156</v>
      </c>
      <c r="E26" s="6">
        <f>D26</f>
        <v>156</v>
      </c>
    </row>
    <row r="27" spans="1:5" s="13" customFormat="1" ht="12">
      <c r="A27" s="1" t="s">
        <v>111</v>
      </c>
      <c r="B27" s="1" t="s">
        <v>206</v>
      </c>
      <c r="C27" s="5">
        <f>C23*C26/1000</f>
        <v>11.706933333333334</v>
      </c>
      <c r="D27" s="5">
        <f>D23*D26/1000</f>
        <v>1.6874866666666666</v>
      </c>
      <c r="E27" s="5">
        <f>E23*E26/1000</f>
        <v>0.20652666666666666</v>
      </c>
    </row>
    <row r="28" spans="1:5" s="13" customFormat="1" ht="12">
      <c r="A28" s="1" t="s">
        <v>74</v>
      </c>
      <c r="B28" s="1" t="s">
        <v>206</v>
      </c>
      <c r="C28" s="8">
        <f>C24*C26/1000</f>
        <v>9.172322693115111</v>
      </c>
      <c r="D28" s="8">
        <f>D24*D26/1000</f>
        <v>0.7874162645766758</v>
      </c>
      <c r="E28" s="8">
        <f>E24*E26/1000</f>
        <v>1.5264951300660146</v>
      </c>
    </row>
    <row r="29" spans="2:5" s="13" customFormat="1" ht="12">
      <c r="B29" s="1"/>
      <c r="C29" s="8"/>
      <c r="D29" s="8"/>
      <c r="E29" s="8"/>
    </row>
    <row r="30" spans="1:8" s="13" customFormat="1" ht="12">
      <c r="A30" s="9" t="s">
        <v>149</v>
      </c>
      <c r="B30" s="9" t="s">
        <v>206</v>
      </c>
      <c r="C30" s="10">
        <f>50*14/1000</f>
        <v>0.7</v>
      </c>
      <c r="D30" s="10">
        <f>10*14/1000</f>
        <v>0.14</v>
      </c>
      <c r="E30" s="10">
        <f>10*14/1000</f>
        <v>0.14</v>
      </c>
      <c r="G30" s="16" t="s">
        <v>75</v>
      </c>
      <c r="H30" s="16"/>
    </row>
    <row r="31" spans="1:8" s="13" customFormat="1" ht="12">
      <c r="A31" s="1" t="s">
        <v>6</v>
      </c>
      <c r="B31" s="1" t="s">
        <v>206</v>
      </c>
      <c r="C31" s="8">
        <f>C27+C28+C30</f>
        <v>21.579256026448444</v>
      </c>
      <c r="D31" s="8">
        <f>D27+D28+D30</f>
        <v>2.6149029312433423</v>
      </c>
      <c r="E31" s="8">
        <f>E27+E28+E30</f>
        <v>1.8730217967326812</v>
      </c>
      <c r="H31" s="13" t="s">
        <v>76</v>
      </c>
    </row>
    <row r="32" spans="1:8" s="13" customFormat="1" ht="12">
      <c r="A32" s="1" t="s">
        <v>113</v>
      </c>
      <c r="B32" s="1" t="s">
        <v>7</v>
      </c>
      <c r="C32" s="5">
        <f>C31*1000/(C19-C15)</f>
        <v>103.40835742020532</v>
      </c>
      <c r="D32" s="5">
        <f>D31*1000/(D19-D15)</f>
        <v>81.58823498419166</v>
      </c>
      <c r="E32" s="5">
        <f>E31*1000/(E19-E15)</f>
        <v>90.6724982685134</v>
      </c>
      <c r="H32" s="13" t="s">
        <v>219</v>
      </c>
    </row>
    <row r="33" spans="1:5" s="13" customFormat="1" ht="12">
      <c r="A33" s="1" t="s">
        <v>112</v>
      </c>
      <c r="B33" s="1" t="s">
        <v>206</v>
      </c>
      <c r="C33" s="6">
        <f>C32*(300*(C20-C16)-(C19-C15))/1000</f>
        <v>99.37218258694492</v>
      </c>
      <c r="D33" s="6">
        <f>D32*(300*(D20-D16)-(D19-D15))/1000</f>
        <v>124.22216717518103</v>
      </c>
      <c r="E33" s="6">
        <f>E32*(300*(E20-E16)-(E19-E15))/1000</f>
        <v>289.6753291358453</v>
      </c>
    </row>
    <row r="34" spans="1:5" s="13" customFormat="1" ht="12">
      <c r="A34" s="1"/>
      <c r="B34" s="1"/>
      <c r="C34" s="1"/>
      <c r="D34" s="1"/>
      <c r="E34" s="1"/>
    </row>
    <row r="35" spans="1:12" s="13" customFormat="1" ht="12">
      <c r="A35" s="9" t="s">
        <v>116</v>
      </c>
      <c r="B35" s="9"/>
      <c r="C35" s="10">
        <v>1.1</v>
      </c>
      <c r="D35" s="10">
        <v>1.1</v>
      </c>
      <c r="E35" s="10">
        <v>1.1</v>
      </c>
      <c r="G35" s="13" t="s">
        <v>194</v>
      </c>
      <c r="J35" s="16"/>
      <c r="K35" s="16"/>
      <c r="L35" s="16"/>
    </row>
    <row r="36" spans="1:12" s="13" customFormat="1" ht="12">
      <c r="A36" s="9" t="s">
        <v>117</v>
      </c>
      <c r="B36" s="9"/>
      <c r="C36" s="10">
        <v>1.1</v>
      </c>
      <c r="D36" s="10">
        <v>1.1</v>
      </c>
      <c r="E36" s="10">
        <v>1.1</v>
      </c>
      <c r="J36" s="16"/>
      <c r="K36" s="16"/>
      <c r="L36" s="16"/>
    </row>
    <row r="37" spans="1:5" s="13" customFormat="1" ht="12">
      <c r="A37" s="4" t="s">
        <v>103</v>
      </c>
      <c r="B37" s="4" t="s">
        <v>206</v>
      </c>
      <c r="C37" s="8">
        <f>(C27+C30)*C35+C28*C36</f>
        <v>23.737181629093293</v>
      </c>
      <c r="D37" s="8">
        <f>(D27+D30)*D35+D28*D36</f>
        <v>2.876393224367677</v>
      </c>
      <c r="E37" s="8">
        <f>(E27+E30)*E35+E28*E36</f>
        <v>2.0603239764059498</v>
      </c>
    </row>
    <row r="38" spans="1:5" s="13" customFormat="1" ht="12">
      <c r="A38" s="1" t="s">
        <v>104</v>
      </c>
      <c r="B38" s="1" t="s">
        <v>7</v>
      </c>
      <c r="C38" s="5">
        <f>C37*1000/(C19-C15)</f>
        <v>113.74919316222585</v>
      </c>
      <c r="D38" s="5">
        <f>D37*1000/(D19-D15)</f>
        <v>89.74705848261084</v>
      </c>
      <c r="E38" s="5">
        <f>E37*1000/(E19-E15)</f>
        <v>99.73974809536476</v>
      </c>
    </row>
    <row r="39" spans="1:9" ht="12.75">
      <c r="A39" s="4" t="s">
        <v>2</v>
      </c>
      <c r="B39" s="4" t="s">
        <v>206</v>
      </c>
      <c r="C39" s="6">
        <f>C38*(300*(C20-C16)-(C19-C15))/1000</f>
        <v>109.30940084563939</v>
      </c>
      <c r="D39" s="6">
        <f>D38*(300*(D20-D16)-(D19-D15))/1000</f>
        <v>136.64438389269915</v>
      </c>
      <c r="E39" s="6">
        <f>E38*(300*(E20-E16)-(E19-E15))/1000</f>
        <v>318.64286204942994</v>
      </c>
      <c r="F39" s="13"/>
      <c r="H39" s="13"/>
      <c r="I39" s="13"/>
    </row>
    <row r="40" spans="1:10" ht="12.75">
      <c r="A40" s="4" t="s">
        <v>150</v>
      </c>
      <c r="B40" s="4" t="s">
        <v>206</v>
      </c>
      <c r="C40" s="6">
        <f>C39/65.66</f>
        <v>1.664779178276567</v>
      </c>
      <c r="D40" s="6">
        <f>D39/65.66</f>
        <v>2.0810902207234108</v>
      </c>
      <c r="E40" s="6">
        <f>E39/65.66</f>
        <v>4.8529220537531215</v>
      </c>
      <c r="F40" s="13"/>
      <c r="H40" s="13" t="s">
        <v>108</v>
      </c>
      <c r="I40" s="13"/>
      <c r="J40" s="13"/>
    </row>
    <row r="41" spans="1:10" ht="12.75">
      <c r="A41" s="9" t="s">
        <v>93</v>
      </c>
      <c r="B41" s="9"/>
      <c r="C41" s="10">
        <v>0.28</v>
      </c>
      <c r="D41" s="10">
        <v>0.24</v>
      </c>
      <c r="E41" s="10">
        <v>0.22</v>
      </c>
      <c r="F41" s="13"/>
      <c r="H41" s="25" t="s">
        <v>105</v>
      </c>
      <c r="I41" s="25" t="s">
        <v>106</v>
      </c>
      <c r="J41" s="25" t="s">
        <v>202</v>
      </c>
    </row>
    <row r="42" spans="1:10" ht="12.75">
      <c r="A42" s="4" t="s">
        <v>94</v>
      </c>
      <c r="B42" s="4" t="s">
        <v>95</v>
      </c>
      <c r="C42" s="6">
        <f>(C39/C37)/C41</f>
        <v>16.446380341437653</v>
      </c>
      <c r="D42" s="6">
        <f>(D39/D37)/D41</f>
        <v>197.93941757670314</v>
      </c>
      <c r="E42" s="6">
        <f>(E39/E37)/E41</f>
        <v>702.9849005619932</v>
      </c>
      <c r="F42" s="13"/>
      <c r="G42" s="25" t="s">
        <v>109</v>
      </c>
      <c r="H42" s="28">
        <v>17</v>
      </c>
      <c r="I42" s="28">
        <v>168</v>
      </c>
      <c r="J42" s="28">
        <v>588</v>
      </c>
    </row>
    <row r="43" spans="1:10" ht="12.75">
      <c r="A43" s="4" t="s">
        <v>129</v>
      </c>
      <c r="B43" s="4" t="s">
        <v>206</v>
      </c>
      <c r="C43" s="6">
        <f>C33/C41</f>
        <v>354.9006520962318</v>
      </c>
      <c r="D43" s="6">
        <f>D33/D41</f>
        <v>517.5923632299209</v>
      </c>
      <c r="E43" s="6">
        <f>E33/E41</f>
        <v>1316.7060415265694</v>
      </c>
      <c r="F43" s="13"/>
      <c r="G43" s="25" t="s">
        <v>110</v>
      </c>
      <c r="H43" s="28">
        <v>20</v>
      </c>
      <c r="I43" s="28">
        <v>220</v>
      </c>
      <c r="J43" s="28">
        <v>870</v>
      </c>
    </row>
    <row r="44" spans="1:11" ht="12.75">
      <c r="A44" s="4" t="s">
        <v>3</v>
      </c>
      <c r="B44" s="4" t="s">
        <v>206</v>
      </c>
      <c r="C44" s="6">
        <f>C39/C41</f>
        <v>390.39071730585493</v>
      </c>
      <c r="D44" s="6">
        <f>D39/D41</f>
        <v>569.3515995529132</v>
      </c>
      <c r="E44" s="6">
        <f>E39/E41</f>
        <v>1448.376645679227</v>
      </c>
      <c r="F44" s="13"/>
      <c r="G44" s="25" t="s">
        <v>69</v>
      </c>
      <c r="H44" s="13">
        <v>16.5</v>
      </c>
      <c r="I44" s="13">
        <v>200</v>
      </c>
      <c r="J44" s="13">
        <v>700</v>
      </c>
      <c r="K44" s="13" t="s">
        <v>70</v>
      </c>
    </row>
    <row r="45" spans="1:10" ht="12.75">
      <c r="A45" s="4"/>
      <c r="B45" s="4"/>
      <c r="C45" s="6"/>
      <c r="D45" s="6"/>
      <c r="E45" s="6"/>
      <c r="G45" s="25" t="s">
        <v>107</v>
      </c>
      <c r="H45" s="79">
        <f>C42</f>
        <v>16.446380341437653</v>
      </c>
      <c r="I45" s="79">
        <f>D42</f>
        <v>197.93941757670314</v>
      </c>
      <c r="J45" s="79">
        <f>E42</f>
        <v>702.9849005619932</v>
      </c>
    </row>
    <row r="46" spans="1:9" ht="12.75">
      <c r="A46" s="9" t="s">
        <v>86</v>
      </c>
      <c r="B46" s="9"/>
      <c r="C46" s="10">
        <v>1.4</v>
      </c>
      <c r="D46" s="10">
        <v>1.4</v>
      </c>
      <c r="E46" s="10">
        <v>1.4</v>
      </c>
      <c r="G46" s="13" t="s">
        <v>41</v>
      </c>
      <c r="H46" s="13"/>
      <c r="I46" s="13"/>
    </row>
    <row r="47" spans="1:10" s="16" customFormat="1" ht="12">
      <c r="A47" s="4" t="s">
        <v>205</v>
      </c>
      <c r="B47" s="4"/>
      <c r="C47" s="5">
        <f>C37/C31*C46</f>
        <v>1.54</v>
      </c>
      <c r="D47" s="5">
        <f>D37/D31*D46</f>
        <v>1.5400000000000003</v>
      </c>
      <c r="E47" s="5">
        <f>E37/E31*E46</f>
        <v>1.5400000000000003</v>
      </c>
      <c r="G47" s="25" t="s">
        <v>115</v>
      </c>
      <c r="H47" s="76">
        <f>(C49+D49+E49)/(C49/C47+D49/D47+E49/E47)</f>
        <v>1.54</v>
      </c>
      <c r="I47" s="77" t="s">
        <v>61</v>
      </c>
      <c r="J47" s="76">
        <v>1.5</v>
      </c>
    </row>
    <row r="48" spans="1:11" s="16" customFormat="1" ht="12">
      <c r="A48" s="4" t="s">
        <v>124</v>
      </c>
      <c r="B48" s="4" t="s">
        <v>206</v>
      </c>
      <c r="C48" s="5">
        <f>C37*C46</f>
        <v>33.23205428073061</v>
      </c>
      <c r="D48" s="5">
        <f>D37*D46</f>
        <v>4.0269505141147475</v>
      </c>
      <c r="E48" s="5">
        <f>E37*E46</f>
        <v>2.8844535669683293</v>
      </c>
      <c r="F48" s="17"/>
      <c r="G48" s="13" t="s">
        <v>73</v>
      </c>
      <c r="H48" s="13">
        <v>0.0007936</v>
      </c>
      <c r="I48" s="13"/>
      <c r="J48" s="25" t="s">
        <v>37</v>
      </c>
      <c r="K48" s="13">
        <f>E38*E46/(H48*(3.14*30^2)/4)</f>
        <v>249.0476667792279</v>
      </c>
    </row>
    <row r="49" spans="1:9" ht="12.75">
      <c r="A49" s="4" t="s">
        <v>96</v>
      </c>
      <c r="B49" s="4" t="s">
        <v>206</v>
      </c>
      <c r="C49" s="6">
        <f>C44*C46</f>
        <v>546.5470042281969</v>
      </c>
      <c r="D49" s="6">
        <f>D44*D46</f>
        <v>797.0922393740784</v>
      </c>
      <c r="E49" s="6">
        <f>E44*E46</f>
        <v>2027.7273039509178</v>
      </c>
      <c r="F49" s="13"/>
      <c r="H49" s="13"/>
      <c r="I49" s="13" t="s">
        <v>38</v>
      </c>
    </row>
    <row r="50" spans="1:9" ht="12.75">
      <c r="A50" s="4" t="s">
        <v>180</v>
      </c>
      <c r="B50" s="4" t="s">
        <v>206</v>
      </c>
      <c r="C50" s="6">
        <f>C49/(65.66/0.3)</f>
        <v>2.49716876741485</v>
      </c>
      <c r="D50" s="6">
        <f>D49/(65.66/0.3)</f>
        <v>3.641907886265969</v>
      </c>
      <c r="E50" s="6">
        <f>E49/(65.66/0.3)</f>
        <v>9.264669375346868</v>
      </c>
      <c r="F50" s="13"/>
      <c r="H50" s="27" t="s">
        <v>39</v>
      </c>
      <c r="I50">
        <f>E48*1000/(E19-E15)</f>
        <v>139.63564733351063</v>
      </c>
    </row>
    <row r="51" spans="1:6" ht="12.75">
      <c r="A51" s="4" t="s">
        <v>42</v>
      </c>
      <c r="B51" s="4" t="s">
        <v>43</v>
      </c>
      <c r="C51" s="6">
        <f>C50/G7</f>
        <v>1.2431716144979013</v>
      </c>
      <c r="D51" s="6">
        <f>D50/G7</f>
        <v>1.8130598804136633</v>
      </c>
      <c r="E51" s="6">
        <f>E50/G7</f>
        <v>4.612252938379728</v>
      </c>
      <c r="F51" s="13"/>
    </row>
    <row r="52" spans="1:6" ht="12.75">
      <c r="A52" s="4" t="s">
        <v>44</v>
      </c>
      <c r="B52" s="4"/>
      <c r="C52" s="11">
        <f>C49/(D56*1000)</f>
        <v>0.16211438196326042</v>
      </c>
      <c r="D52" s="11">
        <f>D49/(D56*1000)</f>
        <v>0.23643001380332762</v>
      </c>
      <c r="E52" s="11">
        <f>E49/(D56*1000)</f>
        <v>0.6014556042334119</v>
      </c>
      <c r="F52" s="13"/>
    </row>
    <row r="53" spans="1:6" ht="12.75">
      <c r="A53" s="4"/>
      <c r="B53" s="4"/>
      <c r="C53" s="11"/>
      <c r="D53" s="11"/>
      <c r="E53" s="11"/>
      <c r="F53" s="13"/>
    </row>
    <row r="54" spans="1:6" ht="12.75">
      <c r="A54" s="4" t="s">
        <v>114</v>
      </c>
      <c r="B54" s="4"/>
      <c r="C54" s="11"/>
      <c r="D54" s="5">
        <f>(C43+D43+E43)*1.2/1000</f>
        <v>2.6270388682232664</v>
      </c>
      <c r="E54" s="11"/>
      <c r="F54" s="13" t="s">
        <v>178</v>
      </c>
    </row>
    <row r="55" spans="1:6" ht="12.75">
      <c r="A55" s="4" t="s">
        <v>53</v>
      </c>
      <c r="B55" s="4"/>
      <c r="C55" s="6"/>
      <c r="D55" s="5">
        <f>(C44+D44+E44)*1.2/1000</f>
        <v>2.889742755045594</v>
      </c>
      <c r="E55" s="6"/>
      <c r="F55" s="13" t="s">
        <v>178</v>
      </c>
    </row>
    <row r="56" spans="1:7" ht="12.75">
      <c r="A56" s="4" t="s">
        <v>54</v>
      </c>
      <c r="B56" s="4"/>
      <c r="C56" s="4"/>
      <c r="D56" s="5">
        <f>(C49+D49+E49)/1000</f>
        <v>3.371366547553193</v>
      </c>
      <c r="E56" s="6"/>
      <c r="F56" s="41">
        <f>(D56/G14)*1000</f>
        <v>21.611324022776877</v>
      </c>
      <c r="G56" s="13" t="s">
        <v>92</v>
      </c>
    </row>
    <row r="57" spans="1:6" ht="12.75">
      <c r="A57" s="4" t="s">
        <v>98</v>
      </c>
      <c r="B57" s="4"/>
      <c r="C57" s="4"/>
      <c r="D57" s="5">
        <f>C50+D50+E50</f>
        <v>15.403746029027687</v>
      </c>
      <c r="E57" s="6"/>
      <c r="F57" s="13"/>
    </row>
    <row r="58" spans="1:6" ht="12.75">
      <c r="A58" s="4" t="s">
        <v>204</v>
      </c>
      <c r="B58" s="4"/>
      <c r="C58" s="4"/>
      <c r="D58" s="5">
        <f>D57/25</f>
        <v>0.6161498411611075</v>
      </c>
      <c r="E58" s="6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</sheetData>
  <sheetProtection/>
  <printOptions/>
  <pageMargins left="0.75" right="0.75" top="1" bottom="1" header="0.5" footer="0.5"/>
  <pageSetup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G24" sqref="G24"/>
    </sheetView>
  </sheetViews>
  <sheetFormatPr defaultColWidth="11.00390625" defaultRowHeight="12.75"/>
  <cols>
    <col min="1" max="1" width="39.875" style="0" customWidth="1"/>
    <col min="2" max="2" width="9.625" style="0" customWidth="1"/>
    <col min="3" max="3" width="13.25390625" style="0" bestFit="1" customWidth="1"/>
    <col min="4" max="4" width="13.25390625" style="0" customWidth="1"/>
    <col min="5" max="5" width="13.25390625" style="0" bestFit="1" customWidth="1"/>
    <col min="6" max="6" width="8.25390625" style="0" customWidth="1"/>
    <col min="7" max="7" width="16.25390625" style="13" customWidth="1"/>
  </cols>
  <sheetData>
    <row r="1" spans="1:4" s="13" customFormat="1" ht="12">
      <c r="A1" s="15" t="s">
        <v>89</v>
      </c>
      <c r="B1" s="2"/>
      <c r="C1" s="2"/>
      <c r="D1" s="2" t="s">
        <v>179</v>
      </c>
    </row>
    <row r="2" spans="1:4" s="13" customFormat="1" ht="12">
      <c r="A2" s="3">
        <v>39624</v>
      </c>
      <c r="B2" s="1"/>
      <c r="C2" s="1"/>
      <c r="D2" s="1"/>
    </row>
    <row r="3" spans="1:5" s="13" customFormat="1" ht="12">
      <c r="A3" s="19" t="s">
        <v>156</v>
      </c>
      <c r="B3" s="96" t="s">
        <v>233</v>
      </c>
      <c r="C3" s="1"/>
      <c r="D3" s="1"/>
      <c r="E3" s="18"/>
    </row>
    <row r="4" spans="1:4" s="13" customFormat="1" ht="12">
      <c r="A4" s="3"/>
      <c r="B4" s="105" t="s">
        <v>234</v>
      </c>
      <c r="C4" s="1"/>
      <c r="D4" s="1"/>
    </row>
    <row r="5" spans="1:4" s="13" customFormat="1" ht="12">
      <c r="A5" s="3"/>
      <c r="B5" s="13" t="s">
        <v>31</v>
      </c>
      <c r="C5" s="1"/>
      <c r="D5" s="1"/>
    </row>
    <row r="6" spans="1:7" s="13" customFormat="1" ht="12">
      <c r="A6" s="3"/>
      <c r="B6" s="13" t="s">
        <v>207</v>
      </c>
      <c r="C6" s="1"/>
      <c r="D6" s="1"/>
      <c r="G6" s="21" t="s">
        <v>57</v>
      </c>
    </row>
    <row r="7" spans="1:7" s="13" customFormat="1" ht="12.75">
      <c r="A7" s="3"/>
      <c r="B7"/>
      <c r="C7" s="1"/>
      <c r="D7" s="1"/>
      <c r="G7" s="18">
        <f>(G14/3)*(2*G13+G12+625)/1000000</f>
        <v>2.433627</v>
      </c>
    </row>
    <row r="8" spans="1:4" s="13" customFormat="1" ht="16.5">
      <c r="A8" s="80" t="s">
        <v>60</v>
      </c>
      <c r="C8" s="2"/>
      <c r="D8" s="2"/>
    </row>
    <row r="9" spans="1:5" s="13" customFormat="1" ht="12">
      <c r="A9" s="3"/>
      <c r="B9" s="1"/>
      <c r="C9" s="1"/>
      <c r="D9" s="1"/>
      <c r="E9" s="1"/>
    </row>
    <row r="10" spans="1:7" s="13" customFormat="1" ht="12">
      <c r="A10" s="1"/>
      <c r="B10" s="1"/>
      <c r="C10" s="2" t="s">
        <v>90</v>
      </c>
      <c r="D10" s="2" t="s">
        <v>201</v>
      </c>
      <c r="E10" s="2" t="s">
        <v>202</v>
      </c>
      <c r="G10" s="13" t="s">
        <v>88</v>
      </c>
    </row>
    <row r="11" spans="1:7" s="13" customFormat="1" ht="12">
      <c r="A11" s="1"/>
      <c r="B11" s="1"/>
      <c r="C11" s="1" t="s">
        <v>78</v>
      </c>
      <c r="D11" s="1" t="s">
        <v>78</v>
      </c>
      <c r="E11" s="1" t="s">
        <v>78</v>
      </c>
      <c r="G11" s="13" t="s">
        <v>207</v>
      </c>
    </row>
    <row r="12" spans="1:8" s="13" customFormat="1" ht="12">
      <c r="A12" s="1"/>
      <c r="B12" s="1"/>
      <c r="C12" s="1" t="s">
        <v>79</v>
      </c>
      <c r="D12" s="1" t="s">
        <v>80</v>
      </c>
      <c r="E12" s="1" t="s">
        <v>79</v>
      </c>
      <c r="G12" s="23">
        <v>12668</v>
      </c>
      <c r="H12" s="13" t="s">
        <v>148</v>
      </c>
    </row>
    <row r="13" spans="1:8" s="13" customFormat="1" ht="12">
      <c r="A13" s="9" t="s">
        <v>81</v>
      </c>
      <c r="B13" s="9" t="s">
        <v>82</v>
      </c>
      <c r="C13" s="10">
        <v>40</v>
      </c>
      <c r="D13" s="12">
        <v>5</v>
      </c>
      <c r="E13" s="12">
        <v>2.4</v>
      </c>
      <c r="G13" s="23">
        <v>12668</v>
      </c>
      <c r="H13" s="13" t="s">
        <v>138</v>
      </c>
    </row>
    <row r="14" spans="1:10" s="13" customFormat="1" ht="12">
      <c r="A14" s="9" t="s">
        <v>83</v>
      </c>
      <c r="B14" s="9" t="s">
        <v>84</v>
      </c>
      <c r="C14" s="12">
        <v>16</v>
      </c>
      <c r="D14" s="12">
        <v>5</v>
      </c>
      <c r="E14" s="12">
        <v>1.2</v>
      </c>
      <c r="G14" s="24">
        <v>189</v>
      </c>
      <c r="H14" s="13" t="s">
        <v>45</v>
      </c>
      <c r="J14" s="22"/>
    </row>
    <row r="15" spans="1:8" s="13" customFormat="1" ht="12.75">
      <c r="A15" s="4" t="s">
        <v>85</v>
      </c>
      <c r="B15" s="4" t="s">
        <v>195</v>
      </c>
      <c r="C15" s="6">
        <f>15.1+5.217*C13</f>
        <v>223.77999999999997</v>
      </c>
      <c r="D15" s="6">
        <v>14.66</v>
      </c>
      <c r="E15" s="7">
        <v>4.383</v>
      </c>
      <c r="G15"/>
      <c r="H15" s="13" t="s">
        <v>224</v>
      </c>
    </row>
    <row r="16" spans="1:8" s="13" customFormat="1" ht="12.75">
      <c r="A16" s="4" t="s">
        <v>196</v>
      </c>
      <c r="B16" s="4" t="s">
        <v>197</v>
      </c>
      <c r="C16" s="6">
        <f>2.0234-5.0309*LOG(C14)+(11.953+0.008775*C14)*LOG(C13)</f>
        <v>15.339945078381884</v>
      </c>
      <c r="D16" s="6">
        <v>3.901</v>
      </c>
      <c r="E16" s="7">
        <v>1.862</v>
      </c>
      <c r="G16"/>
      <c r="H16"/>
    </row>
    <row r="17" spans="1:7" s="13" customFormat="1" ht="12">
      <c r="A17" s="9" t="s">
        <v>130</v>
      </c>
      <c r="B17" s="9" t="s">
        <v>82</v>
      </c>
      <c r="C17" s="10">
        <v>80</v>
      </c>
      <c r="D17" s="12">
        <v>8</v>
      </c>
      <c r="E17" s="12">
        <v>2</v>
      </c>
      <c r="G17" s="14" t="s">
        <v>87</v>
      </c>
    </row>
    <row r="18" spans="1:7" s="13" customFormat="1" ht="12.75">
      <c r="A18" s="9" t="s">
        <v>131</v>
      </c>
      <c r="B18" s="9" t="s">
        <v>84</v>
      </c>
      <c r="C18" s="12">
        <v>14</v>
      </c>
      <c r="D18" s="12">
        <v>4</v>
      </c>
      <c r="E18" s="12" t="s">
        <v>132</v>
      </c>
      <c r="G18"/>
    </row>
    <row r="19" spans="1:7" s="13" customFormat="1" ht="12.75">
      <c r="A19" s="4" t="s">
        <v>133</v>
      </c>
      <c r="B19" s="4" t="s">
        <v>195</v>
      </c>
      <c r="C19" s="6">
        <f>15.1+5.217*C17</f>
        <v>432.46</v>
      </c>
      <c r="D19" s="6">
        <v>46.71</v>
      </c>
      <c r="E19" s="5">
        <v>25.04</v>
      </c>
      <c r="G19"/>
    </row>
    <row r="20" spans="1:7" s="13" customFormat="1" ht="12.75">
      <c r="A20" s="4" t="s">
        <v>134</v>
      </c>
      <c r="B20" s="4" t="s">
        <v>197</v>
      </c>
      <c r="C20" s="6">
        <f>2.0234-5.0309*LOG(C18)+(11.953+0.008775*C18)*LOG(C17)</f>
        <v>19.238773684723014</v>
      </c>
      <c r="D20" s="6">
        <v>9.083</v>
      </c>
      <c r="E20" s="5">
        <v>12.58</v>
      </c>
      <c r="G20"/>
    </row>
    <row r="21" spans="1:7" s="13" customFormat="1" ht="12.75">
      <c r="A21" s="4"/>
      <c r="B21" s="4"/>
      <c r="C21" s="6"/>
      <c r="D21" s="6"/>
      <c r="E21" s="6"/>
      <c r="G21"/>
    </row>
    <row r="22" spans="1:7" s="13" customFormat="1" ht="12.75">
      <c r="A22" s="4"/>
      <c r="B22" s="4"/>
      <c r="C22" s="2" t="s">
        <v>90</v>
      </c>
      <c r="D22" s="2" t="s">
        <v>201</v>
      </c>
      <c r="E22" s="2" t="s">
        <v>202</v>
      </c>
      <c r="G22"/>
    </row>
    <row r="23" spans="1:5" s="13" customFormat="1" ht="12.75">
      <c r="A23" s="4" t="s">
        <v>151</v>
      </c>
      <c r="B23" s="4" t="s">
        <v>135</v>
      </c>
      <c r="C23" s="41">
        <f>'CM_ HeatLoad'!K59</f>
        <v>75.04444444444445</v>
      </c>
      <c r="D23" s="26">
        <f>'CM_ HeatLoad'!K47</f>
        <v>10.817222222222222</v>
      </c>
      <c r="E23" s="26">
        <f>'CM_ HeatLoad'!K35</f>
        <v>1.323888888888889</v>
      </c>
    </row>
    <row r="24" spans="1:7" s="13" customFormat="1" ht="12.75">
      <c r="A24" s="4" t="s">
        <v>152</v>
      </c>
      <c r="B24" s="4" t="s">
        <v>135</v>
      </c>
      <c r="C24" s="41">
        <f>'CM_ HeatLoad'!L59</f>
        <v>58.796940340481484</v>
      </c>
      <c r="D24" s="26">
        <f>'CM_ HeatLoad'!L47</f>
        <v>5.047540157542794</v>
      </c>
      <c r="E24" s="26">
        <f>'CM_ HeatLoad'!L35</f>
        <v>9.785225192730863</v>
      </c>
      <c r="G24" s="13" t="s">
        <v>190</v>
      </c>
    </row>
    <row r="25" spans="1:5" s="13" customFormat="1" ht="12.75">
      <c r="A25"/>
      <c r="B25"/>
      <c r="C25"/>
      <c r="D25"/>
      <c r="E25"/>
    </row>
    <row r="26" spans="1:5" s="16" customFormat="1" ht="12">
      <c r="A26" s="4" t="s">
        <v>123</v>
      </c>
      <c r="B26" s="4"/>
      <c r="C26" s="6">
        <f>G14</f>
        <v>189</v>
      </c>
      <c r="D26" s="6">
        <f>C26</f>
        <v>189</v>
      </c>
      <c r="E26" s="6">
        <f>D26</f>
        <v>189</v>
      </c>
    </row>
    <row r="27" spans="1:5" s="13" customFormat="1" ht="12">
      <c r="A27" s="1" t="s">
        <v>111</v>
      </c>
      <c r="B27" s="1" t="s">
        <v>206</v>
      </c>
      <c r="C27" s="5">
        <f>C23*C26/1000</f>
        <v>14.1834</v>
      </c>
      <c r="D27" s="5">
        <f>D23*D26/1000</f>
        <v>2.044455</v>
      </c>
      <c r="E27" s="5">
        <f>E23*E26/1000</f>
        <v>0.250215</v>
      </c>
    </row>
    <row r="28" spans="1:5" s="13" customFormat="1" ht="12">
      <c r="A28" s="1" t="s">
        <v>74</v>
      </c>
      <c r="B28" s="1" t="s">
        <v>206</v>
      </c>
      <c r="C28" s="8">
        <f>C24*C26/1000</f>
        <v>11.112621724351</v>
      </c>
      <c r="D28" s="8">
        <f>D24*D26/1000</f>
        <v>0.953985089775588</v>
      </c>
      <c r="E28" s="8">
        <f>E24*E26/1000</f>
        <v>1.849407561426133</v>
      </c>
    </row>
    <row r="29" spans="2:5" s="13" customFormat="1" ht="12">
      <c r="B29" s="1"/>
      <c r="C29" s="8"/>
      <c r="D29" s="8"/>
      <c r="E29" s="8"/>
    </row>
    <row r="30" spans="1:8" s="13" customFormat="1" ht="12">
      <c r="A30" s="9" t="s">
        <v>149</v>
      </c>
      <c r="B30" s="9" t="s">
        <v>206</v>
      </c>
      <c r="C30" s="10">
        <f>50*22/1000</f>
        <v>1.1</v>
      </c>
      <c r="D30" s="10">
        <f>10*22/1000</f>
        <v>0.22</v>
      </c>
      <c r="E30" s="10">
        <f>10*22/1000</f>
        <v>0.22</v>
      </c>
      <c r="G30" s="16" t="s">
        <v>75</v>
      </c>
      <c r="H30" s="16"/>
    </row>
    <row r="31" spans="1:8" s="13" customFormat="1" ht="12">
      <c r="A31" s="1" t="s">
        <v>6</v>
      </c>
      <c r="B31" s="1" t="s">
        <v>206</v>
      </c>
      <c r="C31" s="8">
        <f>C27+C28+C30</f>
        <v>26.396021724351</v>
      </c>
      <c r="D31" s="8">
        <f>D27+D28+D30</f>
        <v>3.2184400897755885</v>
      </c>
      <c r="E31" s="8">
        <f>E27+E28+E30</f>
        <v>2.319622561426133</v>
      </c>
      <c r="H31" s="13" t="s">
        <v>76</v>
      </c>
    </row>
    <row r="32" spans="1:8" s="13" customFormat="1" ht="12">
      <c r="A32" s="1" t="s">
        <v>113</v>
      </c>
      <c r="B32" s="1" t="s">
        <v>7</v>
      </c>
      <c r="C32" s="5">
        <f>C31*1000/(C19-C15)</f>
        <v>126.4904242109977</v>
      </c>
      <c r="D32" s="5">
        <f>D31*1000/(D19-D15)</f>
        <v>100.41934757490137</v>
      </c>
      <c r="E32" s="5">
        <f>E31*1000/(E19-E15)</f>
        <v>112.29232518885283</v>
      </c>
      <c r="H32" s="13" t="s">
        <v>223</v>
      </c>
    </row>
    <row r="33" spans="1:5" s="13" customFormat="1" ht="12">
      <c r="A33" s="1" t="s">
        <v>112</v>
      </c>
      <c r="B33" s="1" t="s">
        <v>206</v>
      </c>
      <c r="C33" s="6">
        <f>C32*(300*(C20-C16)-(C19-C15))/1000</f>
        <v>121.55332357826774</v>
      </c>
      <c r="D33" s="6">
        <f>D32*(300*(D20-D16)-(D19-D15))/1000</f>
        <v>152.8934776501661</v>
      </c>
      <c r="E33" s="6">
        <f>E32*(300*(E20-E16)-(E19-E15))/1000</f>
        <v>358.74511985081125</v>
      </c>
    </row>
    <row r="34" spans="1:5" s="13" customFormat="1" ht="12">
      <c r="A34" s="1"/>
      <c r="B34" s="1"/>
      <c r="C34" s="1"/>
      <c r="D34" s="1"/>
      <c r="E34" s="1"/>
    </row>
    <row r="35" spans="1:12" s="13" customFormat="1" ht="12">
      <c r="A35" s="9" t="s">
        <v>116</v>
      </c>
      <c r="B35" s="9"/>
      <c r="C35" s="10">
        <v>1.1</v>
      </c>
      <c r="D35" s="10">
        <v>1.1</v>
      </c>
      <c r="E35" s="10">
        <v>1.1</v>
      </c>
      <c r="G35" s="13" t="s">
        <v>194</v>
      </c>
      <c r="J35" s="16"/>
      <c r="K35" s="16"/>
      <c r="L35" s="16"/>
    </row>
    <row r="36" spans="1:12" s="13" customFormat="1" ht="12">
      <c r="A36" s="9" t="s">
        <v>117</v>
      </c>
      <c r="B36" s="9"/>
      <c r="C36" s="10">
        <v>1.1</v>
      </c>
      <c r="D36" s="10">
        <v>1.1</v>
      </c>
      <c r="E36" s="10">
        <v>1.1</v>
      </c>
      <c r="J36" s="16"/>
      <c r="K36" s="16"/>
      <c r="L36" s="16"/>
    </row>
    <row r="37" spans="1:5" s="13" customFormat="1" ht="12">
      <c r="A37" s="4" t="s">
        <v>103</v>
      </c>
      <c r="B37" s="4" t="s">
        <v>206</v>
      </c>
      <c r="C37" s="8">
        <f>(C27+C30)*C35+C28*C36</f>
        <v>29.0356238967861</v>
      </c>
      <c r="D37" s="8">
        <f>(D27+D30)*D35+D28*D36</f>
        <v>3.5402840987531476</v>
      </c>
      <c r="E37" s="8">
        <f>(E27+E30)*E35+E28*E36</f>
        <v>2.5515848175687466</v>
      </c>
    </row>
    <row r="38" spans="1:5" s="13" customFormat="1" ht="12">
      <c r="A38" s="1" t="s">
        <v>104</v>
      </c>
      <c r="B38" s="1" t="s">
        <v>7</v>
      </c>
      <c r="C38" s="5">
        <f>C37*1000/(C19-C15)</f>
        <v>139.13946663209745</v>
      </c>
      <c r="D38" s="5">
        <f>D37*1000/(D19-D15)</f>
        <v>110.4612823323915</v>
      </c>
      <c r="E38" s="5">
        <f>E37*1000/(E19-E15)</f>
        <v>123.52155770773813</v>
      </c>
    </row>
    <row r="39" spans="1:9" ht="12.75">
      <c r="A39" s="4" t="s">
        <v>2</v>
      </c>
      <c r="B39" s="4" t="s">
        <v>206</v>
      </c>
      <c r="C39" s="6">
        <f>C38*(300*(C20-C16)-(C19-C15))/1000</f>
        <v>133.7086559360945</v>
      </c>
      <c r="D39" s="6">
        <f>D38*(300*(D20-D16)-(D19-D15))/1000</f>
        <v>168.18282541518272</v>
      </c>
      <c r="E39" s="6">
        <f>E38*(300*(E20-E16)-(E19-E15))/1000</f>
        <v>394.6196318358924</v>
      </c>
      <c r="F39" s="13"/>
      <c r="H39" s="13"/>
      <c r="I39" s="13"/>
    </row>
    <row r="40" spans="1:10" ht="12.75">
      <c r="A40" s="4" t="s">
        <v>150</v>
      </c>
      <c r="B40" s="4" t="s">
        <v>206</v>
      </c>
      <c r="C40" s="6">
        <f>C39/65.66</f>
        <v>2.0363791644242233</v>
      </c>
      <c r="D40" s="6">
        <f>D39/65.66</f>
        <v>2.561419820517556</v>
      </c>
      <c r="E40" s="6">
        <f>E39/65.66</f>
        <v>6.010046174777527</v>
      </c>
      <c r="F40" s="13"/>
      <c r="H40" s="13" t="s">
        <v>108</v>
      </c>
      <c r="I40" s="13"/>
      <c r="J40" s="13"/>
    </row>
    <row r="41" spans="1:10" ht="12.75">
      <c r="A41" s="9" t="s">
        <v>93</v>
      </c>
      <c r="B41" s="9"/>
      <c r="C41" s="10">
        <v>0.28</v>
      </c>
      <c r="D41" s="10">
        <v>0.24</v>
      </c>
      <c r="E41" s="10">
        <v>0.22</v>
      </c>
      <c r="F41" s="13"/>
      <c r="H41" s="25" t="s">
        <v>105</v>
      </c>
      <c r="I41" s="25" t="s">
        <v>106</v>
      </c>
      <c r="J41" s="25" t="s">
        <v>202</v>
      </c>
    </row>
    <row r="42" spans="1:10" ht="12.75">
      <c r="A42" s="4" t="s">
        <v>94</v>
      </c>
      <c r="B42" s="4" t="s">
        <v>95</v>
      </c>
      <c r="C42" s="6">
        <f>(C39/C37)/C41</f>
        <v>16.446380341437653</v>
      </c>
      <c r="D42" s="6">
        <f>(D39/D37)/D41</f>
        <v>197.93941757670314</v>
      </c>
      <c r="E42" s="6">
        <f>(E39/E37)/E41</f>
        <v>702.9849005619931</v>
      </c>
      <c r="F42" s="13"/>
      <c r="G42" s="25" t="s">
        <v>109</v>
      </c>
      <c r="H42" s="28">
        <v>17</v>
      </c>
      <c r="I42" s="28">
        <v>168</v>
      </c>
      <c r="J42" s="28">
        <v>588</v>
      </c>
    </row>
    <row r="43" spans="1:10" ht="12.75">
      <c r="A43" s="4" t="s">
        <v>129</v>
      </c>
      <c r="B43" s="4" t="s">
        <v>206</v>
      </c>
      <c r="C43" s="6">
        <f>C33/C41</f>
        <v>434.11901277952757</v>
      </c>
      <c r="D43" s="6">
        <f>D33/D41</f>
        <v>637.0561568756921</v>
      </c>
      <c r="E43" s="6">
        <f>E33/E41</f>
        <v>1630.6596356855057</v>
      </c>
      <c r="F43" s="13"/>
      <c r="G43" s="25" t="s">
        <v>110</v>
      </c>
      <c r="H43" s="28">
        <v>20</v>
      </c>
      <c r="I43" s="28">
        <v>220</v>
      </c>
      <c r="J43" s="28">
        <v>870</v>
      </c>
    </row>
    <row r="44" spans="1:11" ht="12.75">
      <c r="A44" s="4" t="s">
        <v>3</v>
      </c>
      <c r="B44" s="4" t="s">
        <v>206</v>
      </c>
      <c r="C44" s="6">
        <f>C39/C41</f>
        <v>477.5309140574803</v>
      </c>
      <c r="D44" s="6">
        <f>D39/D41</f>
        <v>700.7617725632614</v>
      </c>
      <c r="E44" s="6">
        <f>E39/E41</f>
        <v>1793.7255992540563</v>
      </c>
      <c r="F44" s="13"/>
      <c r="G44" s="25" t="s">
        <v>69</v>
      </c>
      <c r="H44" s="13">
        <v>16.5</v>
      </c>
      <c r="I44" s="13">
        <v>200</v>
      </c>
      <c r="J44" s="13">
        <v>700</v>
      </c>
      <c r="K44" s="13" t="s">
        <v>70</v>
      </c>
    </row>
    <row r="45" spans="1:10" ht="12.75">
      <c r="A45" s="4"/>
      <c r="B45" s="4"/>
      <c r="C45" s="6"/>
      <c r="D45" s="6"/>
      <c r="E45" s="6"/>
      <c r="G45" s="25" t="s">
        <v>107</v>
      </c>
      <c r="H45" s="79">
        <f>C42</f>
        <v>16.446380341437653</v>
      </c>
      <c r="I45" s="79">
        <f>D42</f>
        <v>197.93941757670314</v>
      </c>
      <c r="J45" s="79">
        <f>E42</f>
        <v>702.9849005619931</v>
      </c>
    </row>
    <row r="46" spans="1:9" ht="12.75">
      <c r="A46" s="9" t="s">
        <v>86</v>
      </c>
      <c r="B46" s="9"/>
      <c r="C46" s="10">
        <v>1.4</v>
      </c>
      <c r="D46" s="10">
        <v>1.4</v>
      </c>
      <c r="E46" s="10">
        <v>1.4</v>
      </c>
      <c r="G46" s="13" t="s">
        <v>41</v>
      </c>
      <c r="H46" s="13"/>
      <c r="I46" s="13"/>
    </row>
    <row r="47" spans="1:10" s="16" customFormat="1" ht="12">
      <c r="A47" s="4" t="s">
        <v>205</v>
      </c>
      <c r="B47" s="4"/>
      <c r="C47" s="5">
        <f>C37/C31*C46</f>
        <v>1.5399999999999998</v>
      </c>
      <c r="D47" s="5">
        <f>D37/D31*D46</f>
        <v>1.54</v>
      </c>
      <c r="E47" s="5">
        <f>E37/E31*E46</f>
        <v>1.54</v>
      </c>
      <c r="G47" s="25" t="s">
        <v>115</v>
      </c>
      <c r="H47" s="76">
        <f>(C49+D49+E49)/(C49/C47+D49/D47+E49/E47)</f>
        <v>1.5399999999999998</v>
      </c>
      <c r="I47" s="77" t="s">
        <v>61</v>
      </c>
      <c r="J47" s="76">
        <v>1.5</v>
      </c>
    </row>
    <row r="48" spans="1:11" s="16" customFormat="1" ht="12">
      <c r="A48" s="4" t="s">
        <v>124</v>
      </c>
      <c r="B48" s="4" t="s">
        <v>206</v>
      </c>
      <c r="C48" s="5">
        <f>C37*C46</f>
        <v>40.64987345550053</v>
      </c>
      <c r="D48" s="5">
        <f>D37*D46</f>
        <v>4.956397738254406</v>
      </c>
      <c r="E48" s="5">
        <f>E37*E46</f>
        <v>3.572218744596245</v>
      </c>
      <c r="F48" s="17"/>
      <c r="G48" s="13" t="s">
        <v>73</v>
      </c>
      <c r="H48" s="13">
        <v>0.0007936</v>
      </c>
      <c r="I48" s="13"/>
      <c r="J48" s="25" t="s">
        <v>37</v>
      </c>
      <c r="K48" s="13">
        <f>E38*E46/(H48*(3.14*30^2)/4)</f>
        <v>308.43025304850937</v>
      </c>
    </row>
    <row r="49" spans="1:9" ht="12.75">
      <c r="A49" s="4" t="s">
        <v>96</v>
      </c>
      <c r="B49" s="4" t="s">
        <v>206</v>
      </c>
      <c r="C49" s="6">
        <f>C44*C46</f>
        <v>668.5432796804723</v>
      </c>
      <c r="D49" s="6">
        <f>D44*D46</f>
        <v>981.0664815885659</v>
      </c>
      <c r="E49" s="6">
        <f>E44*E46</f>
        <v>2511.2158389556785</v>
      </c>
      <c r="F49" s="13"/>
      <c r="H49" s="13"/>
      <c r="I49" s="13" t="s">
        <v>38</v>
      </c>
    </row>
    <row r="50" spans="1:9" ht="12.75">
      <c r="A50" s="4" t="s">
        <v>180</v>
      </c>
      <c r="B50" s="4" t="s">
        <v>206</v>
      </c>
      <c r="C50" s="6">
        <f>C49/(65.66/0.3)</f>
        <v>3.054568746636334</v>
      </c>
      <c r="D50" s="6">
        <f>D49/(65.66/0.3)</f>
        <v>4.482484685905723</v>
      </c>
      <c r="E50" s="6">
        <f>E49/(65.66/0.3)</f>
        <v>11.473724515484367</v>
      </c>
      <c r="F50" s="13"/>
      <c r="H50" s="27" t="s">
        <v>39</v>
      </c>
      <c r="I50">
        <f>E48*1000/(E19-E15)</f>
        <v>172.93018079083336</v>
      </c>
    </row>
    <row r="51" spans="1:6" ht="12.75">
      <c r="A51" s="4" t="s">
        <v>42</v>
      </c>
      <c r="B51" s="4" t="s">
        <v>43</v>
      </c>
      <c r="C51" s="6">
        <f>C50/G7</f>
        <v>1.2551507468631526</v>
      </c>
      <c r="D51" s="6">
        <f>D50/G7</f>
        <v>1.8418947052714827</v>
      </c>
      <c r="E51" s="6">
        <f>E50/G7</f>
        <v>4.714660264487684</v>
      </c>
      <c r="F51" s="13"/>
    </row>
    <row r="52" spans="1:6" ht="12.75">
      <c r="A52" s="4" t="s">
        <v>44</v>
      </c>
      <c r="B52" s="4"/>
      <c r="C52" s="11">
        <f>C49/(D56*1000)</f>
        <v>0.1606756312123166</v>
      </c>
      <c r="D52" s="11">
        <f>D49/(D56*1000)</f>
        <v>0.23578649428026516</v>
      </c>
      <c r="E52" s="11">
        <f>E49/(D56*1000)</f>
        <v>0.6035378745074184</v>
      </c>
      <c r="F52" s="13"/>
    </row>
    <row r="53" spans="1:6" ht="12.75">
      <c r="A53" s="4"/>
      <c r="B53" s="4"/>
      <c r="C53" s="11"/>
      <c r="D53" s="11"/>
      <c r="E53" s="11"/>
      <c r="F53" s="13"/>
    </row>
    <row r="54" spans="1:6" ht="12.75">
      <c r="A54" s="4" t="s">
        <v>114</v>
      </c>
      <c r="B54" s="4"/>
      <c r="C54" s="11"/>
      <c r="D54" s="5">
        <f>(C43+D43+E43)*1.2/1000</f>
        <v>3.2422017664088703</v>
      </c>
      <c r="E54" s="11"/>
      <c r="F54" s="13" t="s">
        <v>178</v>
      </c>
    </row>
    <row r="55" spans="1:6" ht="12.75">
      <c r="A55" s="4" t="s">
        <v>53</v>
      </c>
      <c r="B55" s="4"/>
      <c r="C55" s="6"/>
      <c r="D55" s="5">
        <f>(C44+D44+E44)*1.2/1000</f>
        <v>3.5664219430497575</v>
      </c>
      <c r="E55" s="6"/>
      <c r="F55" s="13" t="s">
        <v>178</v>
      </c>
    </row>
    <row r="56" spans="1:7" ht="12.75">
      <c r="A56" s="4" t="s">
        <v>54</v>
      </c>
      <c r="B56" s="4"/>
      <c r="C56" s="4"/>
      <c r="D56" s="5">
        <f>(C49+D49+E49)/1000</f>
        <v>4.160825600224716</v>
      </c>
      <c r="E56" s="6"/>
      <c r="F56" s="41">
        <f>(D56/G14)*1000</f>
        <v>22.014950265739238</v>
      </c>
      <c r="G56" s="13" t="s">
        <v>92</v>
      </c>
    </row>
    <row r="57" spans="1:6" ht="12.75">
      <c r="A57" s="4" t="s">
        <v>98</v>
      </c>
      <c r="B57" s="4"/>
      <c r="C57" s="4"/>
      <c r="D57" s="5">
        <f>C50+D50+E50</f>
        <v>19.010777948026423</v>
      </c>
      <c r="E57" s="6"/>
      <c r="F57" s="13"/>
    </row>
    <row r="58" spans="1:6" ht="12.75">
      <c r="A58" s="4" t="s">
        <v>204</v>
      </c>
      <c r="B58" s="4"/>
      <c r="C58" s="4"/>
      <c r="D58" s="5">
        <f>D57/25</f>
        <v>0.7604311179210569</v>
      </c>
      <c r="E58" s="6"/>
      <c r="F58" s="13"/>
    </row>
    <row r="59" spans="1:6" ht="12.75">
      <c r="A59" s="13"/>
      <c r="B59" s="13"/>
      <c r="C59" s="13"/>
      <c r="D59" s="13"/>
      <c r="E59" s="13"/>
      <c r="F59" s="13"/>
    </row>
    <row r="60" spans="1:6" ht="12.75">
      <c r="A60" s="13"/>
      <c r="B60" s="13"/>
      <c r="C60" s="13"/>
      <c r="D60" s="13"/>
      <c r="E60" s="13"/>
      <c r="F60" s="13"/>
    </row>
  </sheetData>
  <sheetProtection/>
  <printOptions/>
  <pageMargins left="0.75" right="0.75" top="1" bottom="1" header="0.5" footer="0.5"/>
  <pageSetup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2">
      <selection activeCell="E31" sqref="E31"/>
    </sheetView>
  </sheetViews>
  <sheetFormatPr defaultColWidth="11.00390625" defaultRowHeight="12.75"/>
  <cols>
    <col min="1" max="1" width="39.875" style="0" customWidth="1"/>
    <col min="2" max="2" width="9.625" style="0" customWidth="1"/>
    <col min="3" max="3" width="13.25390625" style="0" bestFit="1" customWidth="1"/>
    <col min="4" max="4" width="13.25390625" style="0" customWidth="1"/>
    <col min="5" max="5" width="13.25390625" style="0" bestFit="1" customWidth="1"/>
    <col min="6" max="6" width="8.25390625" style="0" customWidth="1"/>
    <col min="7" max="7" width="16.25390625" style="13" customWidth="1"/>
  </cols>
  <sheetData>
    <row r="1" spans="1:4" s="13" customFormat="1" ht="12">
      <c r="A1" s="15" t="s">
        <v>89</v>
      </c>
      <c r="B1" s="2"/>
      <c r="C1" s="2"/>
      <c r="D1" s="2" t="s">
        <v>179</v>
      </c>
    </row>
    <row r="2" spans="1:4" s="13" customFormat="1" ht="12">
      <c r="A2" s="3">
        <v>39624</v>
      </c>
      <c r="B2" s="1"/>
      <c r="C2" s="1"/>
      <c r="D2" s="1"/>
    </row>
    <row r="3" spans="1:5" s="13" customFormat="1" ht="12">
      <c r="A3" s="19" t="s">
        <v>156</v>
      </c>
      <c r="B3" s="96" t="s">
        <v>213</v>
      </c>
      <c r="C3" s="1"/>
      <c r="D3" s="1"/>
      <c r="E3" s="18"/>
    </row>
    <row r="4" spans="1:4" s="13" customFormat="1" ht="12">
      <c r="A4" s="3"/>
      <c r="B4" s="13" t="s">
        <v>157</v>
      </c>
      <c r="C4" s="1"/>
      <c r="D4" s="1"/>
    </row>
    <row r="5" spans="1:4" s="13" customFormat="1" ht="12">
      <c r="A5" s="3"/>
      <c r="B5" s="13" t="s">
        <v>31</v>
      </c>
      <c r="C5" s="1"/>
      <c r="D5" s="1"/>
    </row>
    <row r="6" spans="1:7" s="13" customFormat="1" ht="12">
      <c r="A6" s="3"/>
      <c r="B6" s="13" t="s">
        <v>207</v>
      </c>
      <c r="C6" s="1"/>
      <c r="D6" s="1"/>
      <c r="G6" s="21" t="s">
        <v>57</v>
      </c>
    </row>
    <row r="7" spans="1:7" s="13" customFormat="1" ht="12.75">
      <c r="A7" s="3"/>
      <c r="B7"/>
      <c r="C7" s="1"/>
      <c r="D7" s="1"/>
      <c r="G7" s="18">
        <f>(G14/3)*(2*G13+G12+625)/1000000</f>
        <v>0.3347846666666666</v>
      </c>
    </row>
    <row r="8" spans="1:4" s="13" customFormat="1" ht="16.5">
      <c r="A8" s="80" t="s">
        <v>60</v>
      </c>
      <c r="C8" s="2"/>
      <c r="D8" s="2"/>
    </row>
    <row r="9" spans="1:5" s="13" customFormat="1" ht="12">
      <c r="A9" s="3"/>
      <c r="B9" s="1"/>
      <c r="C9" s="1"/>
      <c r="D9" s="1"/>
      <c r="E9" s="1"/>
    </row>
    <row r="10" spans="1:7" s="13" customFormat="1" ht="12">
      <c r="A10" s="1"/>
      <c r="B10" s="1"/>
      <c r="C10" s="2" t="s">
        <v>90</v>
      </c>
      <c r="D10" s="2" t="s">
        <v>201</v>
      </c>
      <c r="E10" s="2" t="s">
        <v>202</v>
      </c>
      <c r="G10" s="13" t="s">
        <v>88</v>
      </c>
    </row>
    <row r="11" spans="1:7" s="13" customFormat="1" ht="12">
      <c r="A11" s="1"/>
      <c r="B11" s="1"/>
      <c r="C11" s="1" t="s">
        <v>78</v>
      </c>
      <c r="D11" s="1" t="s">
        <v>78</v>
      </c>
      <c r="E11" s="1" t="s">
        <v>78</v>
      </c>
      <c r="G11" s="13" t="s">
        <v>207</v>
      </c>
    </row>
    <row r="12" spans="1:8" s="13" customFormat="1" ht="12">
      <c r="A12" s="1"/>
      <c r="B12" s="1"/>
      <c r="C12" s="1" t="s">
        <v>79</v>
      </c>
      <c r="D12" s="1" t="s">
        <v>80</v>
      </c>
      <c r="E12" s="1" t="s">
        <v>79</v>
      </c>
      <c r="G12" s="23">
        <v>12668</v>
      </c>
      <c r="H12" s="13" t="s">
        <v>148</v>
      </c>
    </row>
    <row r="13" spans="1:8" s="13" customFormat="1" ht="12">
      <c r="A13" s="9" t="s">
        <v>81</v>
      </c>
      <c r="B13" s="9" t="s">
        <v>82</v>
      </c>
      <c r="C13" s="10">
        <v>40</v>
      </c>
      <c r="D13" s="12">
        <v>5</v>
      </c>
      <c r="E13" s="12">
        <v>2.4</v>
      </c>
      <c r="G13" s="23">
        <v>12668</v>
      </c>
      <c r="H13" s="13" t="s">
        <v>138</v>
      </c>
    </row>
    <row r="14" spans="1:10" s="13" customFormat="1" ht="12">
      <c r="A14" s="9" t="s">
        <v>83</v>
      </c>
      <c r="B14" s="9" t="s">
        <v>84</v>
      </c>
      <c r="C14" s="12">
        <v>16</v>
      </c>
      <c r="D14" s="12">
        <v>5</v>
      </c>
      <c r="E14" s="12">
        <v>1.2</v>
      </c>
      <c r="G14" s="24">
        <v>26</v>
      </c>
      <c r="H14" s="13" t="s">
        <v>45</v>
      </c>
      <c r="J14" s="22"/>
    </row>
    <row r="15" spans="1:8" s="13" customFormat="1" ht="12.75">
      <c r="A15" s="4" t="s">
        <v>85</v>
      </c>
      <c r="B15" s="4" t="s">
        <v>195</v>
      </c>
      <c r="C15" s="6">
        <f>15.1+5.217*C13</f>
        <v>223.77999999999997</v>
      </c>
      <c r="D15" s="6">
        <v>14.66</v>
      </c>
      <c r="E15" s="7">
        <v>4.383</v>
      </c>
      <c r="G15"/>
      <c r="H15" s="13" t="s">
        <v>186</v>
      </c>
    </row>
    <row r="16" spans="1:8" s="13" customFormat="1" ht="12.75">
      <c r="A16" s="4" t="s">
        <v>196</v>
      </c>
      <c r="B16" s="4" t="s">
        <v>197</v>
      </c>
      <c r="C16" s="6">
        <f>2.0234-5.0309*LOG(C14)+(11.953+0.008775*C14)*LOG(C13)</f>
        <v>15.339945078381884</v>
      </c>
      <c r="D16" s="6">
        <v>3.901</v>
      </c>
      <c r="E16" s="7">
        <v>1.862</v>
      </c>
      <c r="G16"/>
      <c r="H16"/>
    </row>
    <row r="17" spans="1:7" s="13" customFormat="1" ht="12">
      <c r="A17" s="9" t="s">
        <v>130</v>
      </c>
      <c r="B17" s="9" t="s">
        <v>82</v>
      </c>
      <c r="C17" s="10">
        <v>80</v>
      </c>
      <c r="D17" s="12">
        <v>8</v>
      </c>
      <c r="E17" s="12">
        <v>2</v>
      </c>
      <c r="G17" s="14" t="s">
        <v>87</v>
      </c>
    </row>
    <row r="18" spans="1:7" s="13" customFormat="1" ht="12.75">
      <c r="A18" s="9" t="s">
        <v>131</v>
      </c>
      <c r="B18" s="9" t="s">
        <v>84</v>
      </c>
      <c r="C18" s="12">
        <v>14</v>
      </c>
      <c r="D18" s="12">
        <v>4</v>
      </c>
      <c r="E18" s="12" t="s">
        <v>132</v>
      </c>
      <c r="G18"/>
    </row>
    <row r="19" spans="1:7" s="13" customFormat="1" ht="12.75">
      <c r="A19" s="4" t="s">
        <v>133</v>
      </c>
      <c r="B19" s="4" t="s">
        <v>195</v>
      </c>
      <c r="C19" s="6">
        <f>15.1+5.217*C17</f>
        <v>432.46</v>
      </c>
      <c r="D19" s="6">
        <v>46.71</v>
      </c>
      <c r="E19" s="5">
        <v>25.04</v>
      </c>
      <c r="G19"/>
    </row>
    <row r="20" spans="1:7" s="13" customFormat="1" ht="12.75">
      <c r="A20" s="4" t="s">
        <v>134</v>
      </c>
      <c r="B20" s="4" t="s">
        <v>197</v>
      </c>
      <c r="C20" s="6">
        <f>2.0234-5.0309*LOG(C18)+(11.953+0.008775*C18)*LOG(C17)</f>
        <v>19.238773684723014</v>
      </c>
      <c r="D20" s="6">
        <v>9.083</v>
      </c>
      <c r="E20" s="5">
        <v>12.58</v>
      </c>
      <c r="G20"/>
    </row>
    <row r="21" spans="1:7" s="13" customFormat="1" ht="12.75">
      <c r="A21" s="4"/>
      <c r="B21" s="4"/>
      <c r="C21" s="6"/>
      <c r="D21" s="6"/>
      <c r="E21" s="6"/>
      <c r="G21"/>
    </row>
    <row r="22" spans="1:7" s="13" customFormat="1" ht="12.75">
      <c r="A22" s="4"/>
      <c r="B22" s="4"/>
      <c r="C22" s="2" t="s">
        <v>90</v>
      </c>
      <c r="D22" s="2" t="s">
        <v>201</v>
      </c>
      <c r="E22" s="2" t="s">
        <v>202</v>
      </c>
      <c r="G22"/>
    </row>
    <row r="23" spans="1:5" s="13" customFormat="1" ht="12.75">
      <c r="A23" s="4" t="s">
        <v>151</v>
      </c>
      <c r="B23" s="4" t="s">
        <v>135</v>
      </c>
      <c r="C23" s="41">
        <f>'CM_ HeatLoad'!M59</f>
        <v>91.80333333333333</v>
      </c>
      <c r="D23" s="26">
        <f>'CM_ HeatLoad'!M47</f>
        <v>12.886666666666667</v>
      </c>
      <c r="E23" s="26">
        <f>'CM_ HeatLoad'!M35</f>
        <v>2.726666666666666</v>
      </c>
    </row>
    <row r="24" spans="1:7" s="13" customFormat="1" ht="12.75">
      <c r="A24" s="4" t="s">
        <v>152</v>
      </c>
      <c r="B24" s="4" t="s">
        <v>135</v>
      </c>
      <c r="C24" s="41">
        <f>'CM_ HeatLoad'!N59</f>
        <v>77.45774292374702</v>
      </c>
      <c r="D24" s="26">
        <f>'CM_ HeatLoad'!N47</f>
        <v>7.318124136002563</v>
      </c>
      <c r="E24" s="26">
        <f>'CM_ HeatLoad'!N35</f>
        <v>6.566055622472515</v>
      </c>
      <c r="G24" s="13" t="s">
        <v>190</v>
      </c>
    </row>
    <row r="25" spans="1:5" s="13" customFormat="1" ht="12.75">
      <c r="A25"/>
      <c r="B25"/>
      <c r="C25"/>
      <c r="D25"/>
      <c r="E25"/>
    </row>
    <row r="26" spans="1:5" s="16" customFormat="1" ht="12">
      <c r="A26" s="4" t="s">
        <v>136</v>
      </c>
      <c r="B26" s="4"/>
      <c r="C26" s="6">
        <f>G14</f>
        <v>26</v>
      </c>
      <c r="D26" s="6">
        <f>C26</f>
        <v>26</v>
      </c>
      <c r="E26" s="6">
        <f>D26</f>
        <v>26</v>
      </c>
    </row>
    <row r="27" spans="1:5" s="13" customFormat="1" ht="12">
      <c r="A27" s="1" t="s">
        <v>111</v>
      </c>
      <c r="B27" s="1" t="s">
        <v>206</v>
      </c>
      <c r="C27" s="5">
        <f>C23*C26/1000</f>
        <v>2.3868866666666664</v>
      </c>
      <c r="D27" s="5">
        <f>D23*D26/1000</f>
        <v>0.3350533333333333</v>
      </c>
      <c r="E27" s="5">
        <f>E23*E26/1000</f>
        <v>0.07089333333333332</v>
      </c>
    </row>
    <row r="28" spans="1:5" s="13" customFormat="1" ht="12">
      <c r="A28" s="1" t="s">
        <v>74</v>
      </c>
      <c r="B28" s="1" t="s">
        <v>206</v>
      </c>
      <c r="C28" s="8">
        <f>C24*C26/1000</f>
        <v>2.0139013160174226</v>
      </c>
      <c r="D28" s="8">
        <f>D24*D26/1000</f>
        <v>0.19027122753606665</v>
      </c>
      <c r="E28" s="8">
        <f>E24*E26/1000</f>
        <v>0.1707174461842854</v>
      </c>
    </row>
    <row r="29" spans="2:5" s="13" customFormat="1" ht="12">
      <c r="B29" s="1"/>
      <c r="C29" s="8"/>
      <c r="D29" s="8"/>
      <c r="E29" s="8"/>
    </row>
    <row r="30" spans="1:8" s="13" customFormat="1" ht="12">
      <c r="A30" s="9" t="s">
        <v>14</v>
      </c>
      <c r="B30" s="9" t="s">
        <v>13</v>
      </c>
      <c r="C30" s="10">
        <v>50</v>
      </c>
      <c r="D30" s="10">
        <f>C30</f>
        <v>50</v>
      </c>
      <c r="E30" s="10">
        <f>D30</f>
        <v>50</v>
      </c>
      <c r="G30" s="16" t="s">
        <v>75</v>
      </c>
      <c r="H30" s="16"/>
    </row>
    <row r="31" spans="1:7" s="13" customFormat="1" ht="12">
      <c r="A31" s="9" t="s">
        <v>11</v>
      </c>
      <c r="B31" s="9" t="s">
        <v>12</v>
      </c>
      <c r="C31" s="95">
        <f>'CM_ HeatLoad'!M59/'e+ 5 GeV source'!G14</f>
        <v>3.530897435897436</v>
      </c>
      <c r="D31" s="95">
        <f>'CM_ HeatLoad'!M47/'e+ 5 GeV source'!G14</f>
        <v>0.49564102564102563</v>
      </c>
      <c r="E31" s="95">
        <f>'CM_ HeatLoad'!M35/'e+ 5 GeV source'!G14</f>
        <v>0.10487179487179485</v>
      </c>
      <c r="G31" s="13" t="s">
        <v>10</v>
      </c>
    </row>
    <row r="32" spans="1:5" s="13" customFormat="1" ht="12">
      <c r="A32" s="4" t="s">
        <v>16</v>
      </c>
      <c r="B32" s="4" t="s">
        <v>206</v>
      </c>
      <c r="C32" s="5">
        <f>C30*C31/1000</f>
        <v>0.1765448717948718</v>
      </c>
      <c r="D32" s="7">
        <f>D30*D31/1000</f>
        <v>0.02478205128205128</v>
      </c>
      <c r="E32" s="7">
        <f>E30*E31/1000</f>
        <v>0.005243589743589743</v>
      </c>
    </row>
    <row r="33" spans="1:8" s="13" customFormat="1" ht="12">
      <c r="A33" s="9" t="s">
        <v>15</v>
      </c>
      <c r="B33" s="9" t="s">
        <v>206</v>
      </c>
      <c r="C33" s="10">
        <v>0.15</v>
      </c>
      <c r="D33" s="95">
        <v>0.03</v>
      </c>
      <c r="E33" s="95">
        <v>0.03</v>
      </c>
      <c r="G33" s="16" t="s">
        <v>75</v>
      </c>
      <c r="H33" s="16"/>
    </row>
    <row r="34" spans="1:8" s="13" customFormat="1" ht="12">
      <c r="A34" s="1" t="s">
        <v>6</v>
      </c>
      <c r="B34" s="1" t="s">
        <v>206</v>
      </c>
      <c r="C34" s="8">
        <f>C27+C28+C32+C33</f>
        <v>4.727332854478961</v>
      </c>
      <c r="D34" s="8">
        <f>D27+D28+D32+D33</f>
        <v>0.5801066121514512</v>
      </c>
      <c r="E34" s="8">
        <f>E27+E28+E32+E33</f>
        <v>0.27685436926120843</v>
      </c>
      <c r="H34" s="13" t="s">
        <v>76</v>
      </c>
    </row>
    <row r="35" spans="1:12" s="13" customFormat="1" ht="12">
      <c r="A35" s="1" t="s">
        <v>113</v>
      </c>
      <c r="B35" s="1" t="s">
        <v>7</v>
      </c>
      <c r="C35" s="5">
        <f>C34*1000/(C19-C15)</f>
        <v>22.65350227371555</v>
      </c>
      <c r="D35" s="5">
        <f>D34*1000/(D19-D15)</f>
        <v>18.100050301137326</v>
      </c>
      <c r="E35" s="5">
        <f>E34*1000/(E19-E15)</f>
        <v>13.4024480447891</v>
      </c>
      <c r="H35" s="13" t="s">
        <v>18</v>
      </c>
      <c r="K35" s="16"/>
      <c r="L35" s="16"/>
    </row>
    <row r="36" spans="1:12" s="13" customFormat="1" ht="12">
      <c r="A36" s="1" t="s">
        <v>112</v>
      </c>
      <c r="B36" s="1" t="s">
        <v>206</v>
      </c>
      <c r="C36" s="6">
        <f>C35*(300*(C20-C16)-(C19-C15))/1000</f>
        <v>21.76930395509384</v>
      </c>
      <c r="D36" s="6">
        <f>D35*(300*(D20-D16)-(D19-D15))/1000</f>
        <v>27.55823158599664</v>
      </c>
      <c r="E36" s="6">
        <f>E35*(300*(E20-E16)-(E19-E15))/1000</f>
        <v>42.817377073953665</v>
      </c>
      <c r="K36" s="16"/>
      <c r="L36" s="16"/>
    </row>
    <row r="37" spans="1:5" s="13" customFormat="1" ht="12">
      <c r="A37" s="1"/>
      <c r="B37" s="1"/>
      <c r="C37" s="1"/>
      <c r="D37" s="1"/>
      <c r="E37" s="1"/>
    </row>
    <row r="38" spans="1:10" s="13" customFormat="1" ht="12">
      <c r="A38" s="9" t="s">
        <v>116</v>
      </c>
      <c r="B38" s="9"/>
      <c r="C38" s="10">
        <v>1.3</v>
      </c>
      <c r="D38" s="10">
        <v>1.3</v>
      </c>
      <c r="E38" s="10">
        <v>1.3</v>
      </c>
      <c r="G38" s="13" t="s">
        <v>17</v>
      </c>
      <c r="J38" s="16"/>
    </row>
    <row r="39" spans="1:10" ht="12.75">
      <c r="A39" s="9" t="s">
        <v>117</v>
      </c>
      <c r="B39" s="9"/>
      <c r="C39" s="10">
        <v>1.1</v>
      </c>
      <c r="D39" s="10">
        <v>1.1</v>
      </c>
      <c r="E39" s="10">
        <v>1.1</v>
      </c>
      <c r="F39" s="13"/>
      <c r="H39" s="13"/>
      <c r="I39" s="13"/>
      <c r="J39" s="16"/>
    </row>
    <row r="40" spans="1:6" ht="12.75">
      <c r="A40" s="4" t="s">
        <v>103</v>
      </c>
      <c r="B40" s="4" t="s">
        <v>206</v>
      </c>
      <c r="C40" s="8">
        <f>(C27+C32+C33)*C38+C28*C39</f>
        <v>5.742752447619164</v>
      </c>
      <c r="D40" s="8">
        <f>(D27+D32+D33)*D38+D28*D39</f>
        <v>0.7160843502896733</v>
      </c>
      <c r="E40" s="8">
        <f>(E27+E32+E33)*E38+E28*E39</f>
        <v>0.32576719080271394</v>
      </c>
      <c r="F40" s="13"/>
    </row>
    <row r="41" spans="1:6" ht="12.75">
      <c r="A41" s="1" t="s">
        <v>104</v>
      </c>
      <c r="B41" s="1" t="s">
        <v>7</v>
      </c>
      <c r="C41" s="5">
        <f>C40*1000/(C19-C15)</f>
        <v>27.519419434632756</v>
      </c>
      <c r="D41" s="5">
        <f>D40*1000/(D19-D15)</f>
        <v>22.342725438055332</v>
      </c>
      <c r="E41" s="5">
        <f>E40*1000/(E19-E15)</f>
        <v>15.770305020221421</v>
      </c>
      <c r="F41" s="13"/>
    </row>
    <row r="42" spans="1:6" ht="12.75">
      <c r="A42" s="4" t="s">
        <v>2</v>
      </c>
      <c r="B42" s="4" t="s">
        <v>206</v>
      </c>
      <c r="C42" s="6">
        <f>C41*(300*(C20-C16)-(C19-C15))/1000</f>
        <v>26.445297468874706</v>
      </c>
      <c r="D42" s="6">
        <f>D41*(300*(D20-D16)-(D19-D15))/1000</f>
        <v>34.017916615711144</v>
      </c>
      <c r="E42" s="6">
        <f>E41*(300*(E20-E16)-(E19-E15))/1000</f>
        <v>50.382071571217246</v>
      </c>
      <c r="F42" s="13"/>
    </row>
    <row r="43" spans="1:10" ht="12.75">
      <c r="A43" s="4" t="s">
        <v>150</v>
      </c>
      <c r="B43" s="4" t="s">
        <v>206</v>
      </c>
      <c r="C43" s="5">
        <f>C42/65.66</f>
        <v>0.4027611554808819</v>
      </c>
      <c r="D43" s="5">
        <f>D42/65.66</f>
        <v>0.5180919374917933</v>
      </c>
      <c r="E43" s="5">
        <f>E42/65.66</f>
        <v>0.7673175688580147</v>
      </c>
      <c r="F43" s="13"/>
      <c r="H43" s="13" t="s">
        <v>108</v>
      </c>
      <c r="I43" s="13"/>
      <c r="J43" s="13"/>
    </row>
    <row r="44" spans="1:10" ht="12.75">
      <c r="A44" s="9" t="s">
        <v>93</v>
      </c>
      <c r="B44" s="9"/>
      <c r="C44" s="10">
        <v>0.28</v>
      </c>
      <c r="D44" s="10">
        <v>0.24</v>
      </c>
      <c r="E44" s="10">
        <v>0.22</v>
      </c>
      <c r="F44" s="13"/>
      <c r="H44" s="25" t="s">
        <v>105</v>
      </c>
      <c r="I44" s="25" t="s">
        <v>106</v>
      </c>
      <c r="J44" s="25" t="s">
        <v>202</v>
      </c>
    </row>
    <row r="45" spans="1:10" ht="12.75">
      <c r="A45" s="4" t="s">
        <v>94</v>
      </c>
      <c r="B45" s="4" t="s">
        <v>95</v>
      </c>
      <c r="C45" s="6">
        <f>(C42/C40)/C44</f>
        <v>16.446380341437656</v>
      </c>
      <c r="D45" s="6">
        <f>(D42/D40)/D44</f>
        <v>197.93941757670308</v>
      </c>
      <c r="E45" s="6">
        <f>(E42/E40)/E44</f>
        <v>702.9849005619931</v>
      </c>
      <c r="F45" s="13"/>
      <c r="G45" s="25" t="s">
        <v>109</v>
      </c>
      <c r="H45" s="28">
        <v>17</v>
      </c>
      <c r="I45" s="28">
        <v>168</v>
      </c>
      <c r="J45" s="28">
        <v>588</v>
      </c>
    </row>
    <row r="46" spans="1:10" ht="12.75">
      <c r="A46" s="4" t="s">
        <v>129</v>
      </c>
      <c r="B46" s="4" t="s">
        <v>206</v>
      </c>
      <c r="C46" s="6">
        <f>C36/C44</f>
        <v>77.74751412533513</v>
      </c>
      <c r="D46" s="6">
        <f>D36/D44</f>
        <v>114.82596494165267</v>
      </c>
      <c r="E46" s="6">
        <f>E36/E44</f>
        <v>194.62444124524393</v>
      </c>
      <c r="F46" s="13"/>
      <c r="G46" s="25" t="s">
        <v>110</v>
      </c>
      <c r="H46" s="28">
        <v>20</v>
      </c>
      <c r="I46" s="28">
        <v>220</v>
      </c>
      <c r="J46" s="28">
        <v>870</v>
      </c>
    </row>
    <row r="47" spans="1:11" ht="12.75">
      <c r="A47" s="4" t="s">
        <v>3</v>
      </c>
      <c r="B47" s="4" t="s">
        <v>206</v>
      </c>
      <c r="C47" s="6">
        <f>C42/C44</f>
        <v>94.4474909602668</v>
      </c>
      <c r="D47" s="6">
        <f>D42/D44</f>
        <v>141.74131923212977</v>
      </c>
      <c r="E47" s="6">
        <f>E42/E44</f>
        <v>229.00941623280565</v>
      </c>
      <c r="F47" s="13"/>
      <c r="G47" s="25" t="s">
        <v>69</v>
      </c>
      <c r="H47" s="13">
        <v>16.5</v>
      </c>
      <c r="I47" s="13">
        <v>200</v>
      </c>
      <c r="J47" s="13">
        <v>700</v>
      </c>
      <c r="K47" s="13" t="s">
        <v>70</v>
      </c>
    </row>
    <row r="48" spans="1:10" ht="12.75">
      <c r="A48" s="4"/>
      <c r="B48" s="4"/>
      <c r="C48" s="6"/>
      <c r="D48" s="6"/>
      <c r="E48" s="6"/>
      <c r="G48" s="25" t="s">
        <v>107</v>
      </c>
      <c r="H48" s="79">
        <f>C42</f>
        <v>26.445297468874706</v>
      </c>
      <c r="I48" s="79">
        <f>D42</f>
        <v>34.017916615711144</v>
      </c>
      <c r="J48" s="79">
        <f>E42</f>
        <v>50.382071571217246</v>
      </c>
    </row>
    <row r="49" spans="1:9" ht="12.75">
      <c r="A49" s="9" t="s">
        <v>86</v>
      </c>
      <c r="B49" s="9"/>
      <c r="C49" s="10">
        <v>1.4</v>
      </c>
      <c r="D49" s="10">
        <v>1.4</v>
      </c>
      <c r="E49" s="10">
        <v>1.4</v>
      </c>
      <c r="G49" s="13" t="s">
        <v>41</v>
      </c>
      <c r="H49" s="13"/>
      <c r="I49" s="13"/>
    </row>
    <row r="50" spans="1:10" s="16" customFormat="1" ht="12">
      <c r="A50" s="4" t="s">
        <v>205</v>
      </c>
      <c r="B50" s="4"/>
      <c r="C50" s="5">
        <f>C40/C34*C49</f>
        <v>1.700716593088931</v>
      </c>
      <c r="D50" s="5">
        <f>D40/D34*D49</f>
        <v>1.728161805788572</v>
      </c>
      <c r="E50" s="5">
        <f>E40/E34*E49</f>
        <v>1.6473428551654883</v>
      </c>
      <c r="G50" s="25" t="s">
        <v>115</v>
      </c>
      <c r="H50" s="76">
        <f>(C52+D52+E52)/(C52/C50+D52/D50+E52/E50)</f>
        <v>1.682027414997738</v>
      </c>
      <c r="I50" s="77" t="s">
        <v>61</v>
      </c>
      <c r="J50" s="76">
        <v>1.5</v>
      </c>
    </row>
    <row r="51" spans="1:11" s="16" customFormat="1" ht="12">
      <c r="A51" s="4" t="s">
        <v>124</v>
      </c>
      <c r="B51" s="4" t="s">
        <v>206</v>
      </c>
      <c r="C51" s="5">
        <f>C40*C49</f>
        <v>8.039853426666829</v>
      </c>
      <c r="D51" s="5">
        <f>D40*D49</f>
        <v>1.0025180904055426</v>
      </c>
      <c r="E51" s="5">
        <f>E40*E49</f>
        <v>0.4560740671237995</v>
      </c>
      <c r="F51" s="17"/>
      <c r="G51" s="13" t="s">
        <v>73</v>
      </c>
      <c r="H51" s="13">
        <v>0.0007936</v>
      </c>
      <c r="I51" s="13"/>
      <c r="J51" s="25" t="s">
        <v>37</v>
      </c>
      <c r="K51" s="13">
        <f>E38*E49/(H51*(3.14*30^2)/4)</f>
        <v>3.2460676209392045</v>
      </c>
    </row>
    <row r="52" spans="1:9" ht="12.75">
      <c r="A52" s="4" t="s">
        <v>96</v>
      </c>
      <c r="B52" s="4" t="s">
        <v>206</v>
      </c>
      <c r="C52" s="5">
        <f>C47*C49</f>
        <v>132.2264873443735</v>
      </c>
      <c r="D52" s="5">
        <f>D47*D49</f>
        <v>198.43784692498167</v>
      </c>
      <c r="E52" s="5">
        <f>E47*E49</f>
        <v>320.6131827259279</v>
      </c>
      <c r="F52" s="13"/>
      <c r="H52" s="13"/>
      <c r="I52" s="13" t="s">
        <v>38</v>
      </c>
    </row>
    <row r="53" spans="1:9" ht="12.75">
      <c r="A53" s="4" t="s">
        <v>180</v>
      </c>
      <c r="B53" s="4" t="s">
        <v>206</v>
      </c>
      <c r="C53" s="5">
        <f>C52/(65.66/0.3)</f>
        <v>0.6041417332213227</v>
      </c>
      <c r="D53" s="5">
        <f>D52/(65.66/0.3)</f>
        <v>0.9066608906106381</v>
      </c>
      <c r="E53" s="5">
        <f>E52/(65.66/0.3)</f>
        <v>1.4648789950925734</v>
      </c>
      <c r="F53" s="13"/>
      <c r="H53" s="27" t="s">
        <v>39</v>
      </c>
      <c r="I53">
        <f>E51*1000/(E19-E15)</f>
        <v>22.078427028309992</v>
      </c>
    </row>
    <row r="54" spans="1:6" ht="12.75">
      <c r="A54" s="4" t="s">
        <v>42</v>
      </c>
      <c r="B54" s="4" t="s">
        <v>43</v>
      </c>
      <c r="C54" s="6">
        <f>C53/G7</f>
        <v>1.8045681101125384</v>
      </c>
      <c r="D54" s="6">
        <f>D53/G7</f>
        <v>2.7081912073152643</v>
      </c>
      <c r="E54" s="6">
        <f>E53/G7</f>
        <v>4.375585685204341</v>
      </c>
      <c r="F54" s="13"/>
    </row>
    <row r="55" spans="1:6" ht="12.75">
      <c r="A55" s="4" t="s">
        <v>44</v>
      </c>
      <c r="B55" s="4"/>
      <c r="C55" s="11">
        <f>C52/(D59*1000)</f>
        <v>0.2030263350014141</v>
      </c>
      <c r="D55" s="11">
        <f>D52/(D59*1000)</f>
        <v>0.30469015396153903</v>
      </c>
      <c r="E55" s="11">
        <f>E52/(D59*1000)</f>
        <v>0.4922835110370468</v>
      </c>
      <c r="F55" s="13"/>
    </row>
    <row r="56" spans="1:6" ht="12.75">
      <c r="A56" s="4"/>
      <c r="B56" s="4"/>
      <c r="C56" s="11"/>
      <c r="D56" s="11"/>
      <c r="E56" s="11"/>
      <c r="F56" s="13"/>
    </row>
    <row r="57" spans="1:6" ht="12.75">
      <c r="A57" s="4" t="s">
        <v>114</v>
      </c>
      <c r="B57" s="4"/>
      <c r="C57" s="11"/>
      <c r="D57" s="5">
        <f>(C46+D46+E46)*1.2/1000</f>
        <v>0.4646375043746781</v>
      </c>
      <c r="E57" s="11"/>
      <c r="F57" s="13" t="s">
        <v>178</v>
      </c>
    </row>
    <row r="58" spans="1:6" ht="12.75">
      <c r="A58" s="4" t="s">
        <v>53</v>
      </c>
      <c r="B58" s="4"/>
      <c r="C58" s="6"/>
      <c r="D58" s="5">
        <f>(C47+D47+E47)*1.2/1000</f>
        <v>0.5582378717102426</v>
      </c>
      <c r="E58" s="6"/>
      <c r="F58" s="13" t="s">
        <v>178</v>
      </c>
    </row>
    <row r="59" spans="1:7" ht="12.75">
      <c r="A59" s="4" t="s">
        <v>54</v>
      </c>
      <c r="B59" s="4"/>
      <c r="C59" s="4"/>
      <c r="D59" s="5">
        <f>(C52+D52+E52)/1000</f>
        <v>0.6512775169952831</v>
      </c>
      <c r="E59" s="6"/>
      <c r="F59" s="41">
        <f>(D59/G14)*1000</f>
        <v>25.04913526904935</v>
      </c>
      <c r="G59" s="13" t="s">
        <v>92</v>
      </c>
    </row>
    <row r="60" spans="1:6" ht="12.75">
      <c r="A60" s="4" t="s">
        <v>98</v>
      </c>
      <c r="B60" s="4"/>
      <c r="C60" s="4"/>
      <c r="D60" s="5">
        <f>C53+D53+E53</f>
        <v>2.975681618924534</v>
      </c>
      <c r="E60" s="6"/>
      <c r="F60" s="13"/>
    </row>
    <row r="61" spans="1:6" ht="12.75">
      <c r="A61" s="4" t="s">
        <v>204</v>
      </c>
      <c r="B61" s="4"/>
      <c r="C61" s="4"/>
      <c r="D61" s="5">
        <f>D60/25</f>
        <v>0.11902726475698136</v>
      </c>
      <c r="E61" s="6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2.75">
      <c r="A63" s="13"/>
      <c r="B63" s="13"/>
      <c r="C63" s="13"/>
      <c r="D63" s="13"/>
      <c r="E63" s="13"/>
      <c r="F63" s="13"/>
    </row>
  </sheetData>
  <sheetProtection/>
  <printOptions/>
  <pageMargins left="0.75" right="0.75" top="1" bottom="1" header="0.5" footer="0.5"/>
  <pageSetup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9">
      <selection activeCell="E31" sqref="E31"/>
    </sheetView>
  </sheetViews>
  <sheetFormatPr defaultColWidth="11.00390625" defaultRowHeight="12.75"/>
  <cols>
    <col min="1" max="1" width="39.875" style="0" customWidth="1"/>
    <col min="2" max="2" width="9.625" style="0" customWidth="1"/>
    <col min="3" max="3" width="13.25390625" style="0" bestFit="1" customWidth="1"/>
    <col min="4" max="4" width="13.25390625" style="0" customWidth="1"/>
    <col min="5" max="5" width="13.25390625" style="0" bestFit="1" customWidth="1"/>
    <col min="6" max="6" width="8.25390625" style="0" customWidth="1"/>
    <col min="7" max="7" width="16.25390625" style="13" customWidth="1"/>
  </cols>
  <sheetData>
    <row r="1" spans="1:4" s="13" customFormat="1" ht="12">
      <c r="A1" s="15" t="s">
        <v>89</v>
      </c>
      <c r="B1" s="2"/>
      <c r="C1" s="2"/>
      <c r="D1" s="2" t="s">
        <v>179</v>
      </c>
    </row>
    <row r="2" spans="1:4" s="13" customFormat="1" ht="12">
      <c r="A2" s="3">
        <v>39624</v>
      </c>
      <c r="B2" s="1"/>
      <c r="C2" s="1"/>
      <c r="D2" s="1"/>
    </row>
    <row r="3" spans="1:5" s="13" customFormat="1" ht="12">
      <c r="A3" s="19" t="s">
        <v>156</v>
      </c>
      <c r="B3" s="96" t="s">
        <v>212</v>
      </c>
      <c r="C3" s="1"/>
      <c r="D3" s="1"/>
      <c r="E3" s="18"/>
    </row>
    <row r="4" spans="1:4" s="13" customFormat="1" ht="12">
      <c r="A4" s="3"/>
      <c r="B4" s="13" t="s">
        <v>157</v>
      </c>
      <c r="C4" s="1"/>
      <c r="D4" s="1"/>
    </row>
    <row r="5" spans="1:4" s="13" customFormat="1" ht="12">
      <c r="A5" s="3"/>
      <c r="B5" s="13" t="s">
        <v>31</v>
      </c>
      <c r="C5" s="1"/>
      <c r="D5" s="1"/>
    </row>
    <row r="6" spans="1:7" s="13" customFormat="1" ht="12">
      <c r="A6" s="3"/>
      <c r="B6" s="13" t="s">
        <v>207</v>
      </c>
      <c r="C6" s="1"/>
      <c r="D6" s="1"/>
      <c r="G6" s="21" t="s">
        <v>57</v>
      </c>
    </row>
    <row r="7" spans="1:7" s="13" customFormat="1" ht="12.75">
      <c r="A7" s="3"/>
      <c r="B7"/>
      <c r="C7" s="1"/>
      <c r="D7" s="1"/>
      <c r="G7" s="18">
        <f>(G14/3)*(2*G13+G12+625)/1000000</f>
        <v>0.309032</v>
      </c>
    </row>
    <row r="8" spans="1:4" s="13" customFormat="1" ht="16.5">
      <c r="A8" s="80" t="s">
        <v>8</v>
      </c>
      <c r="C8" s="2"/>
      <c r="D8" s="2"/>
    </row>
    <row r="9" spans="1:5" s="13" customFormat="1" ht="12">
      <c r="A9" s="3"/>
      <c r="B9" s="1"/>
      <c r="C9" s="1"/>
      <c r="D9" s="1"/>
      <c r="E9" s="1"/>
    </row>
    <row r="10" spans="1:7" s="13" customFormat="1" ht="12">
      <c r="A10" s="1"/>
      <c r="B10" s="1"/>
      <c r="C10" s="2" t="s">
        <v>90</v>
      </c>
      <c r="D10" s="2" t="s">
        <v>201</v>
      </c>
      <c r="E10" s="2" t="s">
        <v>202</v>
      </c>
      <c r="G10" s="13" t="s">
        <v>88</v>
      </c>
    </row>
    <row r="11" spans="1:7" s="13" customFormat="1" ht="12">
      <c r="A11" s="1"/>
      <c r="B11" s="1"/>
      <c r="C11" s="1" t="s">
        <v>78</v>
      </c>
      <c r="D11" s="1" t="s">
        <v>78</v>
      </c>
      <c r="E11" s="1" t="s">
        <v>78</v>
      </c>
      <c r="G11" s="13" t="s">
        <v>207</v>
      </c>
    </row>
    <row r="12" spans="1:8" s="13" customFormat="1" ht="12">
      <c r="A12" s="1"/>
      <c r="B12" s="1"/>
      <c r="C12" s="1" t="s">
        <v>79</v>
      </c>
      <c r="D12" s="1" t="s">
        <v>80</v>
      </c>
      <c r="E12" s="1" t="s">
        <v>79</v>
      </c>
      <c r="G12" s="23">
        <v>12668</v>
      </c>
      <c r="H12" s="13" t="s">
        <v>148</v>
      </c>
    </row>
    <row r="13" spans="1:8" s="13" customFormat="1" ht="12">
      <c r="A13" s="9" t="s">
        <v>81</v>
      </c>
      <c r="B13" s="9" t="s">
        <v>82</v>
      </c>
      <c r="C13" s="10">
        <v>40</v>
      </c>
      <c r="D13" s="12">
        <v>5</v>
      </c>
      <c r="E13" s="12">
        <v>2.4</v>
      </c>
      <c r="G13" s="23">
        <v>12668</v>
      </c>
      <c r="H13" s="13" t="s">
        <v>138</v>
      </c>
    </row>
    <row r="14" spans="1:10" s="13" customFormat="1" ht="12">
      <c r="A14" s="9" t="s">
        <v>83</v>
      </c>
      <c r="B14" s="9" t="s">
        <v>84</v>
      </c>
      <c r="C14" s="12">
        <v>16</v>
      </c>
      <c r="D14" s="12">
        <v>5</v>
      </c>
      <c r="E14" s="12">
        <v>1.2</v>
      </c>
      <c r="G14" s="24">
        <v>24</v>
      </c>
      <c r="H14" s="13" t="s">
        <v>9</v>
      </c>
      <c r="J14" s="22"/>
    </row>
    <row r="15" spans="1:8" s="13" customFormat="1" ht="12.75">
      <c r="A15" s="4" t="s">
        <v>85</v>
      </c>
      <c r="B15" s="4" t="s">
        <v>195</v>
      </c>
      <c r="C15" s="6">
        <f>15.1+5.217*C13</f>
        <v>223.77999999999997</v>
      </c>
      <c r="D15" s="6">
        <v>14.66</v>
      </c>
      <c r="E15" s="7">
        <v>4.383</v>
      </c>
      <c r="G15"/>
      <c r="H15" s="13" t="s">
        <v>186</v>
      </c>
    </row>
    <row r="16" spans="1:8" s="13" customFormat="1" ht="12.75">
      <c r="A16" s="4" t="s">
        <v>196</v>
      </c>
      <c r="B16" s="4" t="s">
        <v>197</v>
      </c>
      <c r="C16" s="6">
        <f>2.0234-5.0309*LOG(C14)+(11.953+0.008775*C14)*LOG(C13)</f>
        <v>15.339945078381884</v>
      </c>
      <c r="D16" s="6">
        <v>3.901</v>
      </c>
      <c r="E16" s="7">
        <v>1.862</v>
      </c>
      <c r="G16"/>
      <c r="H16"/>
    </row>
    <row r="17" spans="1:7" s="13" customFormat="1" ht="12">
      <c r="A17" s="9" t="s">
        <v>130</v>
      </c>
      <c r="B17" s="9" t="s">
        <v>82</v>
      </c>
      <c r="C17" s="10">
        <v>80</v>
      </c>
      <c r="D17" s="12">
        <v>8</v>
      </c>
      <c r="E17" s="12">
        <v>2</v>
      </c>
      <c r="G17" s="14" t="s">
        <v>87</v>
      </c>
    </row>
    <row r="18" spans="1:7" s="13" customFormat="1" ht="12.75">
      <c r="A18" s="9" t="s">
        <v>131</v>
      </c>
      <c r="B18" s="9" t="s">
        <v>84</v>
      </c>
      <c r="C18" s="12">
        <v>14</v>
      </c>
      <c r="D18" s="12">
        <v>4</v>
      </c>
      <c r="E18" s="12" t="s">
        <v>132</v>
      </c>
      <c r="G18"/>
    </row>
    <row r="19" spans="1:7" s="13" customFormat="1" ht="12.75">
      <c r="A19" s="4" t="s">
        <v>133</v>
      </c>
      <c r="B19" s="4" t="s">
        <v>195</v>
      </c>
      <c r="C19" s="6">
        <f>15.1+5.217*C17</f>
        <v>432.46</v>
      </c>
      <c r="D19" s="6">
        <v>46.71</v>
      </c>
      <c r="E19" s="5">
        <v>25.04</v>
      </c>
      <c r="G19"/>
    </row>
    <row r="20" spans="1:7" s="13" customFormat="1" ht="12.75">
      <c r="A20" s="4" t="s">
        <v>134</v>
      </c>
      <c r="B20" s="4" t="s">
        <v>197</v>
      </c>
      <c r="C20" s="6">
        <f>2.0234-5.0309*LOG(C18)+(11.953+0.008775*C18)*LOG(C17)</f>
        <v>19.238773684723014</v>
      </c>
      <c r="D20" s="6">
        <v>9.083</v>
      </c>
      <c r="E20" s="5">
        <v>12.58</v>
      </c>
      <c r="G20"/>
    </row>
    <row r="21" spans="1:7" s="13" customFormat="1" ht="12.75">
      <c r="A21" s="4"/>
      <c r="B21" s="4"/>
      <c r="C21" s="6"/>
      <c r="D21" s="6"/>
      <c r="E21" s="6"/>
      <c r="G21"/>
    </row>
    <row r="22" spans="1:7" s="13" customFormat="1" ht="12.75">
      <c r="A22" s="4"/>
      <c r="B22" s="4"/>
      <c r="C22" s="2" t="s">
        <v>90</v>
      </c>
      <c r="D22" s="2" t="s">
        <v>201</v>
      </c>
      <c r="E22" s="2" t="s">
        <v>202</v>
      </c>
      <c r="G22"/>
    </row>
    <row r="23" spans="1:5" s="13" customFormat="1" ht="12.75">
      <c r="A23" s="4" t="s">
        <v>151</v>
      </c>
      <c r="B23" s="4" t="s">
        <v>135</v>
      </c>
      <c r="C23" s="41">
        <f>'CM_ HeatLoad'!O59</f>
        <v>75.31133333333332</v>
      </c>
      <c r="D23" s="26">
        <f>'CM_ HeatLoad'!O47</f>
        <v>11.024666666666667</v>
      </c>
      <c r="E23" s="26">
        <f>'CM_ HeatLoad'!O35</f>
        <v>1.596166666666667</v>
      </c>
    </row>
    <row r="24" spans="1:7" s="13" customFormat="1" ht="12.75">
      <c r="A24" s="4" t="s">
        <v>152</v>
      </c>
      <c r="B24" s="4" t="s">
        <v>135</v>
      </c>
      <c r="C24" s="41">
        <f>'CM_ HeatLoad'!P59+'CM_ HeatLoad'!R59</f>
        <v>120.43832575257841</v>
      </c>
      <c r="D24" s="26">
        <f>'CM_ HeatLoad'!P47+'CM_ HeatLoad'!R47</f>
        <v>10.802992655303981</v>
      </c>
      <c r="E24" s="26">
        <f>'CM_ HeatLoad'!P35+'CM_ HeatLoad'!R35</f>
        <v>10.598787256864908</v>
      </c>
      <c r="G24" s="13" t="s">
        <v>190</v>
      </c>
    </row>
    <row r="25" spans="1:5" s="13" customFormat="1" ht="12.75">
      <c r="A25"/>
      <c r="B25"/>
      <c r="C25"/>
      <c r="D25"/>
      <c r="E25"/>
    </row>
    <row r="26" spans="1:5" s="16" customFormat="1" ht="12">
      <c r="A26" s="4" t="s">
        <v>136</v>
      </c>
      <c r="B26" s="4"/>
      <c r="C26" s="6">
        <f>G14</f>
        <v>24</v>
      </c>
      <c r="D26" s="6">
        <f>C26</f>
        <v>24</v>
      </c>
      <c r="E26" s="6">
        <f>D26</f>
        <v>24</v>
      </c>
    </row>
    <row r="27" spans="1:5" s="13" customFormat="1" ht="12">
      <c r="A27" s="1" t="s">
        <v>111</v>
      </c>
      <c r="B27" s="1" t="s">
        <v>206</v>
      </c>
      <c r="C27" s="5">
        <f>C23*C26/1000</f>
        <v>1.8074719999999997</v>
      </c>
      <c r="D27" s="5">
        <f>D23*D26/1000</f>
        <v>0.264592</v>
      </c>
      <c r="E27" s="5">
        <f>E23*E26/1000</f>
        <v>0.03830800000000001</v>
      </c>
    </row>
    <row r="28" spans="1:5" s="13" customFormat="1" ht="12">
      <c r="A28" s="1" t="s">
        <v>74</v>
      </c>
      <c r="B28" s="1" t="s">
        <v>206</v>
      </c>
      <c r="C28" s="8">
        <f>C24*C26/1000</f>
        <v>2.8905198180618816</v>
      </c>
      <c r="D28" s="8">
        <f>D24*D26/1000</f>
        <v>0.25927182372729557</v>
      </c>
      <c r="E28" s="8">
        <f>E24*E26/1000</f>
        <v>0.2543708941647578</v>
      </c>
    </row>
    <row r="29" spans="1:5" s="13" customFormat="1" ht="12">
      <c r="A29" s="1"/>
      <c r="B29" s="1"/>
      <c r="C29" s="8"/>
      <c r="D29" s="8"/>
      <c r="E29" s="8"/>
    </row>
    <row r="30" spans="1:5" s="13" customFormat="1" ht="12">
      <c r="A30" s="9" t="s">
        <v>14</v>
      </c>
      <c r="B30" s="9" t="s">
        <v>13</v>
      </c>
      <c r="C30" s="10">
        <v>50</v>
      </c>
      <c r="D30" s="10">
        <f>C30</f>
        <v>50</v>
      </c>
      <c r="E30" s="10">
        <f>D30</f>
        <v>50</v>
      </c>
    </row>
    <row r="31" spans="1:7" s="13" customFormat="1" ht="12">
      <c r="A31" s="9" t="s">
        <v>11</v>
      </c>
      <c r="B31" s="9" t="s">
        <v>12</v>
      </c>
      <c r="C31" s="95">
        <f>'CM_ HeatLoad'!Q59/'e- 5 GeV source'!G14</f>
        <v>3.137972222222222</v>
      </c>
      <c r="D31" s="95">
        <f>'CM_ HeatLoad'!Q47/'e- 5 GeV source'!G14</f>
        <v>0.4593611111111111</v>
      </c>
      <c r="E31" s="95">
        <f>'CM_ HeatLoad'!Q35/'e- 5 GeV source'!G14</f>
        <v>0.06650694444444445</v>
      </c>
      <c r="G31" s="13" t="s">
        <v>10</v>
      </c>
    </row>
    <row r="32" spans="1:5" s="13" customFormat="1" ht="12">
      <c r="A32" s="4" t="s">
        <v>16</v>
      </c>
      <c r="B32" s="4" t="s">
        <v>206</v>
      </c>
      <c r="C32" s="5">
        <f>C30*C31/1000</f>
        <v>0.1568986111111111</v>
      </c>
      <c r="D32" s="7">
        <f>D30*D31/1000</f>
        <v>0.022968055555555554</v>
      </c>
      <c r="E32" s="7">
        <f>E30*E31/1000</f>
        <v>0.0033253472222222226</v>
      </c>
    </row>
    <row r="33" spans="1:8" s="13" customFormat="1" ht="12">
      <c r="A33" s="9" t="s">
        <v>15</v>
      </c>
      <c r="B33" s="9" t="s">
        <v>206</v>
      </c>
      <c r="C33" s="10">
        <v>0.15</v>
      </c>
      <c r="D33" s="95">
        <v>0.03</v>
      </c>
      <c r="E33" s="95">
        <v>0.03</v>
      </c>
      <c r="G33" s="16" t="s">
        <v>75</v>
      </c>
      <c r="H33" s="16"/>
    </row>
    <row r="34" spans="1:8" s="13" customFormat="1" ht="12">
      <c r="A34" s="1" t="s">
        <v>6</v>
      </c>
      <c r="B34" s="1" t="s">
        <v>206</v>
      </c>
      <c r="C34" s="8">
        <f>C27+C28+C32+C33</f>
        <v>5.004890429172993</v>
      </c>
      <c r="D34" s="8">
        <f>D27+D28+D32+D33</f>
        <v>0.5768318792828512</v>
      </c>
      <c r="E34" s="8">
        <f>E27+E28+E32+E33</f>
        <v>0.32600424138698003</v>
      </c>
      <c r="H34" s="13" t="s">
        <v>76</v>
      </c>
    </row>
    <row r="35" spans="1:8" s="13" customFormat="1" ht="12">
      <c r="A35" s="1" t="s">
        <v>113</v>
      </c>
      <c r="B35" s="1" t="s">
        <v>7</v>
      </c>
      <c r="C35" s="5">
        <f>C34*1000/(C19-C15)</f>
        <v>23.9835654071928</v>
      </c>
      <c r="D35" s="5">
        <f>D34*1000/(D19-D15)</f>
        <v>17.997874548606905</v>
      </c>
      <c r="E35" s="5">
        <f>E34*1000/(E19-E15)</f>
        <v>15.781780577382003</v>
      </c>
      <c r="H35" s="13" t="s">
        <v>18</v>
      </c>
    </row>
    <row r="36" spans="1:5" s="13" customFormat="1" ht="12">
      <c r="A36" s="1" t="s">
        <v>112</v>
      </c>
      <c r="B36" s="1" t="s">
        <v>206</v>
      </c>
      <c r="C36" s="6">
        <f>C35*(300*(C20-C16)-(C19-C15))/1000</f>
        <v>23.047452838312054</v>
      </c>
      <c r="D36" s="6">
        <f>D35*(300*(D20-D16)-(D19-D15))/1000</f>
        <v>27.402663893981448</v>
      </c>
      <c r="E36" s="6">
        <f>E35*(300*(E20-E16)-(E19-E15))/1000</f>
        <v>50.41873302712711</v>
      </c>
    </row>
    <row r="37" spans="1:5" s="13" customFormat="1" ht="12">
      <c r="A37" s="1"/>
      <c r="B37" s="1"/>
      <c r="C37" s="1"/>
      <c r="D37" s="1"/>
      <c r="E37" s="1"/>
    </row>
    <row r="38" spans="1:12" s="13" customFormat="1" ht="12">
      <c r="A38" s="9" t="s">
        <v>116</v>
      </c>
      <c r="B38" s="9"/>
      <c r="C38" s="10">
        <v>1.3</v>
      </c>
      <c r="D38" s="10">
        <v>1.3</v>
      </c>
      <c r="E38" s="10">
        <v>1.3</v>
      </c>
      <c r="G38" s="13" t="s">
        <v>17</v>
      </c>
      <c r="J38" s="16"/>
      <c r="K38" s="16"/>
      <c r="L38" s="16"/>
    </row>
    <row r="39" spans="1:12" s="13" customFormat="1" ht="12">
      <c r="A39" s="9" t="s">
        <v>117</v>
      </c>
      <c r="B39" s="9"/>
      <c r="C39" s="10">
        <v>1.1</v>
      </c>
      <c r="D39" s="10">
        <v>1.1</v>
      </c>
      <c r="E39" s="10">
        <v>1.1</v>
      </c>
      <c r="J39" s="16"/>
      <c r="K39" s="16"/>
      <c r="L39" s="16"/>
    </row>
    <row r="40" spans="1:5" s="13" customFormat="1" ht="12">
      <c r="A40" s="4" t="s">
        <v>103</v>
      </c>
      <c r="B40" s="4" t="s">
        <v>206</v>
      </c>
      <c r="C40" s="8">
        <f>(C27+C32+C33)*C38+C28*C39</f>
        <v>5.928253594312514</v>
      </c>
      <c r="D40" s="8">
        <f>(D27+D32+D33)*D38+D28*D39</f>
        <v>0.6980270783222473</v>
      </c>
      <c r="E40" s="8">
        <f>(E27+E32+E33)*E38+E28*E39</f>
        <v>0.3729313349701225</v>
      </c>
    </row>
    <row r="41" spans="1:5" s="13" customFormat="1" ht="12">
      <c r="A41" s="1" t="s">
        <v>104</v>
      </c>
      <c r="B41" s="1" t="s">
        <v>7</v>
      </c>
      <c r="C41" s="5">
        <f>C40*1000/(C19-C15)</f>
        <v>28.408345765346528</v>
      </c>
      <c r="D41" s="5">
        <f>D40*1000/(D19-D15)</f>
        <v>21.77931601629477</v>
      </c>
      <c r="E41" s="5">
        <f>E40*1000/(E19-E15)</f>
        <v>18.053508978560412</v>
      </c>
    </row>
    <row r="42" spans="1:9" ht="12.75">
      <c r="A42" s="4" t="s">
        <v>2</v>
      </c>
      <c r="B42" s="4" t="s">
        <v>206</v>
      </c>
      <c r="C42" s="6">
        <f>C41*(300*(C20-C16)-(C19-C15))/1000</f>
        <v>27.299527744316368</v>
      </c>
      <c r="D42" s="6">
        <f>D41*(300*(D20-D16)-(D19-D15))/1000</f>
        <v>33.16009760060961</v>
      </c>
      <c r="E42" s="6">
        <f>E41*(300*(E20-E16)-(E19-E15))/1000</f>
        <v>57.67632143469302</v>
      </c>
      <c r="F42" s="13"/>
      <c r="H42" s="13"/>
      <c r="I42" s="13"/>
    </row>
    <row r="43" spans="1:10" ht="12.75">
      <c r="A43" s="4" t="s">
        <v>150</v>
      </c>
      <c r="B43" s="4" t="s">
        <v>206</v>
      </c>
      <c r="C43" s="6">
        <f>C42/65.66</f>
        <v>0.4157710591580318</v>
      </c>
      <c r="D43" s="6">
        <f>D42/65.66</f>
        <v>0.5050273774080051</v>
      </c>
      <c r="E43" s="6">
        <f>E42/65.66</f>
        <v>0.878408794314545</v>
      </c>
      <c r="F43" s="13"/>
      <c r="H43" s="13" t="s">
        <v>108</v>
      </c>
      <c r="I43" s="13"/>
      <c r="J43" s="13"/>
    </row>
    <row r="44" spans="1:10" ht="12.75">
      <c r="A44" s="9" t="s">
        <v>93</v>
      </c>
      <c r="B44" s="9"/>
      <c r="C44" s="10">
        <v>0.28</v>
      </c>
      <c r="D44" s="10">
        <v>0.24</v>
      </c>
      <c r="E44" s="10">
        <v>0.22</v>
      </c>
      <c r="F44" s="13"/>
      <c r="H44" s="25" t="s">
        <v>105</v>
      </c>
      <c r="I44" s="25" t="s">
        <v>106</v>
      </c>
      <c r="J44" s="25" t="s">
        <v>202</v>
      </c>
    </row>
    <row r="45" spans="1:10" ht="12.75">
      <c r="A45" s="4" t="s">
        <v>94</v>
      </c>
      <c r="B45" s="4" t="s">
        <v>95</v>
      </c>
      <c r="C45" s="6">
        <f>(C42/C40)/C44</f>
        <v>16.446380341437656</v>
      </c>
      <c r="D45" s="6">
        <f>(D42/D40)/D44</f>
        <v>197.93941757670314</v>
      </c>
      <c r="E45" s="6">
        <f>(E42/E40)/E44</f>
        <v>702.984900561993</v>
      </c>
      <c r="F45" s="13"/>
      <c r="G45" s="25" t="s">
        <v>109</v>
      </c>
      <c r="H45" s="28">
        <v>17</v>
      </c>
      <c r="I45" s="28">
        <v>168</v>
      </c>
      <c r="J45" s="28">
        <v>588</v>
      </c>
    </row>
    <row r="46" spans="1:10" ht="12.75">
      <c r="A46" s="4" t="s">
        <v>129</v>
      </c>
      <c r="B46" s="4" t="s">
        <v>206</v>
      </c>
      <c r="C46" s="6">
        <f>C36/C44</f>
        <v>82.31233156540019</v>
      </c>
      <c r="D46" s="6">
        <f>D36/D44</f>
        <v>114.1777662249227</v>
      </c>
      <c r="E46" s="6">
        <f>E36/E44</f>
        <v>229.17605921421415</v>
      </c>
      <c r="F46" s="13"/>
      <c r="G46" s="25" t="s">
        <v>110</v>
      </c>
      <c r="H46" s="28">
        <v>20</v>
      </c>
      <c r="I46" s="28">
        <v>220</v>
      </c>
      <c r="J46" s="28">
        <v>870</v>
      </c>
    </row>
    <row r="47" spans="1:11" ht="12.75">
      <c r="A47" s="4" t="s">
        <v>3</v>
      </c>
      <c r="B47" s="4" t="s">
        <v>206</v>
      </c>
      <c r="C47" s="6">
        <f>C42/C44</f>
        <v>97.49831337255844</v>
      </c>
      <c r="D47" s="6">
        <f>D42/D44</f>
        <v>138.16707333587337</v>
      </c>
      <c r="E47" s="6">
        <f>E42/E44</f>
        <v>262.1650974304228</v>
      </c>
      <c r="F47" s="13"/>
      <c r="G47" s="25" t="s">
        <v>69</v>
      </c>
      <c r="H47" s="13">
        <v>16.5</v>
      </c>
      <c r="I47" s="13">
        <v>200</v>
      </c>
      <c r="J47" s="13">
        <v>700</v>
      </c>
      <c r="K47" s="13" t="s">
        <v>70</v>
      </c>
    </row>
    <row r="48" spans="1:10" ht="12.75">
      <c r="A48" s="4"/>
      <c r="B48" s="4"/>
      <c r="C48" s="6"/>
      <c r="D48" s="6"/>
      <c r="E48" s="6"/>
      <c r="G48" s="25" t="s">
        <v>107</v>
      </c>
      <c r="H48" s="79">
        <f>C45</f>
        <v>16.446380341437656</v>
      </c>
      <c r="I48" s="79">
        <f>D45</f>
        <v>197.93941757670314</v>
      </c>
      <c r="J48" s="79">
        <f>E45</f>
        <v>702.984900561993</v>
      </c>
    </row>
    <row r="49" spans="1:9" ht="12.75">
      <c r="A49" s="9" t="s">
        <v>86</v>
      </c>
      <c r="B49" s="9"/>
      <c r="C49" s="10">
        <v>1.4</v>
      </c>
      <c r="D49" s="10">
        <v>1.4</v>
      </c>
      <c r="E49" s="10">
        <v>1.4</v>
      </c>
      <c r="G49" s="13" t="s">
        <v>41</v>
      </c>
      <c r="H49" s="13"/>
      <c r="I49" s="13"/>
    </row>
    <row r="50" spans="1:10" s="16" customFormat="1" ht="12">
      <c r="A50" s="4" t="s">
        <v>205</v>
      </c>
      <c r="B50" s="4"/>
      <c r="C50" s="5">
        <f>C40/C34*C49</f>
        <v>1.6582890573708198</v>
      </c>
      <c r="D50" s="5">
        <f>D40/D34*D49</f>
        <v>1.6941468471993983</v>
      </c>
      <c r="E50" s="5">
        <f>E40/E34*E49</f>
        <v>1.601524773840023</v>
      </c>
      <c r="G50" s="25" t="s">
        <v>115</v>
      </c>
      <c r="H50" s="76">
        <f>(C52+D52+E52)/(C52/C50+D52/D50+E52/E50)</f>
        <v>1.6373457610513489</v>
      </c>
      <c r="I50" s="77" t="s">
        <v>61</v>
      </c>
      <c r="J50" s="76">
        <v>1.5</v>
      </c>
    </row>
    <row r="51" spans="1:11" s="16" customFormat="1" ht="12">
      <c r="A51" s="4" t="s">
        <v>124</v>
      </c>
      <c r="B51" s="4" t="s">
        <v>206</v>
      </c>
      <c r="C51" s="5">
        <f>C40*C49</f>
        <v>8.299555032037519</v>
      </c>
      <c r="D51" s="5">
        <f>D40*D49</f>
        <v>0.9772379096511462</v>
      </c>
      <c r="E51" s="5">
        <f>E40*E49</f>
        <v>0.5221038689581714</v>
      </c>
      <c r="F51" s="17"/>
      <c r="G51" s="13" t="s">
        <v>73</v>
      </c>
      <c r="H51" s="13">
        <v>0.0007936</v>
      </c>
      <c r="I51" s="13"/>
      <c r="J51" s="25" t="s">
        <v>37</v>
      </c>
      <c r="K51" s="13">
        <f>E41*E49/(H51*(3.14*30^2)/4)</f>
        <v>45.07916226126167</v>
      </c>
    </row>
    <row r="52" spans="1:9" ht="12.75">
      <c r="A52" s="4" t="s">
        <v>96</v>
      </c>
      <c r="B52" s="4" t="s">
        <v>206</v>
      </c>
      <c r="C52" s="6">
        <f>C47*C49</f>
        <v>136.4976387215818</v>
      </c>
      <c r="D52" s="6">
        <f>D47*D49</f>
        <v>193.4339026702227</v>
      </c>
      <c r="E52" s="6">
        <f>E47*E49</f>
        <v>367.0311364025919</v>
      </c>
      <c r="F52" s="13"/>
      <c r="H52" s="13"/>
      <c r="I52" s="13" t="s">
        <v>38</v>
      </c>
    </row>
    <row r="53" spans="1:9" ht="12.75">
      <c r="A53" s="4" t="s">
        <v>180</v>
      </c>
      <c r="B53" s="4" t="s">
        <v>206</v>
      </c>
      <c r="C53" s="6">
        <f>C52/(65.66/0.3)</f>
        <v>0.6236565887370475</v>
      </c>
      <c r="D53" s="6">
        <f>D52/(65.66/0.3)</f>
        <v>0.8837979104640086</v>
      </c>
      <c r="E53" s="6">
        <f>E52/(65.66/0.3)</f>
        <v>1.6769622436914038</v>
      </c>
      <c r="F53" s="13"/>
      <c r="H53" s="27" t="s">
        <v>39</v>
      </c>
      <c r="I53">
        <f>E51*1000/(E19-E15)</f>
        <v>25.274912569984576</v>
      </c>
    </row>
    <row r="54" spans="1:6" ht="12.75">
      <c r="A54" s="4" t="s">
        <v>42</v>
      </c>
      <c r="B54" s="4" t="s">
        <v>43</v>
      </c>
      <c r="C54" s="6">
        <f>C53/G7</f>
        <v>2.018097118541276</v>
      </c>
      <c r="D54" s="6">
        <f>D53/G7</f>
        <v>2.8598912425380174</v>
      </c>
      <c r="E54" s="6">
        <f>E53/G7</f>
        <v>5.426500309648851</v>
      </c>
      <c r="F54" s="13"/>
    </row>
    <row r="55" spans="1:6" ht="12.75">
      <c r="A55" s="4" t="s">
        <v>44</v>
      </c>
      <c r="B55" s="4"/>
      <c r="C55" s="11">
        <f>C52/(D59*1000)</f>
        <v>0.19584641053311685</v>
      </c>
      <c r="D55" s="11">
        <f>D52/(D59*1000)</f>
        <v>0.27753839456993934</v>
      </c>
      <c r="E55" s="11">
        <f>E52/(D59*1000)</f>
        <v>0.5266151948969439</v>
      </c>
      <c r="F55" s="13"/>
    </row>
    <row r="56" spans="1:6" ht="12.75">
      <c r="A56" s="4"/>
      <c r="B56" s="4"/>
      <c r="C56" s="11"/>
      <c r="D56" s="11"/>
      <c r="E56" s="11"/>
      <c r="F56" s="13"/>
    </row>
    <row r="57" spans="1:6" ht="12.75">
      <c r="A57" s="4" t="s">
        <v>114</v>
      </c>
      <c r="B57" s="4"/>
      <c r="C57" s="11"/>
      <c r="D57" s="5">
        <f>(C46+D46+E46)*1.2/1000</f>
        <v>0.5107993884054444</v>
      </c>
      <c r="E57" s="11"/>
      <c r="F57" s="13" t="s">
        <v>178</v>
      </c>
    </row>
    <row r="58" spans="1:6" ht="12.75">
      <c r="A58" s="4" t="s">
        <v>53</v>
      </c>
      <c r="B58" s="4"/>
      <c r="C58" s="6"/>
      <c r="D58" s="5">
        <f>(C47+D47+E47)*1.2/1000</f>
        <v>0.5973965809666255</v>
      </c>
      <c r="E58" s="6"/>
      <c r="F58" s="13" t="s">
        <v>178</v>
      </c>
    </row>
    <row r="59" spans="1:7" ht="12.75">
      <c r="A59" s="4" t="s">
        <v>54</v>
      </c>
      <c r="B59" s="4"/>
      <c r="C59" s="4"/>
      <c r="D59" s="5">
        <f>(C52+D52+E52)/1000</f>
        <v>0.6969626777943965</v>
      </c>
      <c r="E59" s="6"/>
      <c r="F59" s="41">
        <f>(D59/G14)*1000</f>
        <v>29.04011157476652</v>
      </c>
      <c r="G59" s="13" t="s">
        <v>92</v>
      </c>
    </row>
    <row r="60" spans="1:6" ht="12.75">
      <c r="A60" s="4" t="s">
        <v>98</v>
      </c>
      <c r="B60" s="4"/>
      <c r="C60" s="4"/>
      <c r="D60" s="5">
        <f>C53+D53+E53</f>
        <v>3.18441674289246</v>
      </c>
      <c r="E60" s="6"/>
      <c r="F60" s="13"/>
    </row>
    <row r="61" spans="1:6" ht="12.75">
      <c r="A61" s="4" t="s">
        <v>204</v>
      </c>
      <c r="B61" s="4"/>
      <c r="C61" s="4"/>
      <c r="D61" s="5">
        <f>D60/25</f>
        <v>0.12737666971569842</v>
      </c>
      <c r="E61" s="6"/>
      <c r="F61" s="13"/>
    </row>
    <row r="62" spans="1:6" ht="12.75">
      <c r="A62" s="13"/>
      <c r="B62" s="13"/>
      <c r="C62" s="13"/>
      <c r="D62" s="13"/>
      <c r="E62" s="13"/>
      <c r="F62" s="13"/>
    </row>
    <row r="63" spans="1:6" ht="10.5" customHeight="1">
      <c r="A63" s="13"/>
      <c r="B63" s="13"/>
      <c r="C63" s="13"/>
      <c r="D63" s="13"/>
      <c r="E63" s="13"/>
      <c r="F63" s="13"/>
    </row>
  </sheetData>
  <sheetProtection/>
  <printOptions/>
  <pageMargins left="0.75" right="0.75" top="1" bottom="1" header="0.5" footer="0.5"/>
  <pageSetup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3"/>
  <sheetViews>
    <sheetView zoomScale="80" zoomScaleNormal="80" workbookViewId="0" topLeftCell="A1">
      <selection activeCell="A3" sqref="A3"/>
    </sheetView>
  </sheetViews>
  <sheetFormatPr defaultColWidth="11.00390625" defaultRowHeight="12.75"/>
  <cols>
    <col min="1" max="1" width="31.25390625" style="0" bestFit="1" customWidth="1"/>
    <col min="2" max="2" width="15.00390625" style="0" bestFit="1" customWidth="1"/>
    <col min="3" max="3" width="20.625" style="0" customWidth="1"/>
    <col min="4" max="4" width="16.375" style="0" bestFit="1" customWidth="1"/>
    <col min="5" max="6" width="21.375" style="0" bestFit="1" customWidth="1"/>
    <col min="7" max="7" width="12.75390625" style="0" bestFit="1" customWidth="1"/>
    <col min="8" max="9" width="21.25390625" style="0" bestFit="1" customWidth="1"/>
  </cols>
  <sheetData>
    <row r="2" spans="1:7" ht="16.5">
      <c r="A2" s="90" t="s">
        <v>89</v>
      </c>
      <c r="F2" s="92" t="s">
        <v>189</v>
      </c>
      <c r="G2" s="94"/>
    </row>
    <row r="3" spans="1:9" ht="16.5">
      <c r="A3" s="80">
        <v>39624</v>
      </c>
      <c r="B3" s="91"/>
      <c r="C3" s="91"/>
      <c r="D3" s="91"/>
      <c r="F3" s="92" t="s">
        <v>172</v>
      </c>
      <c r="G3" s="92"/>
      <c r="H3" s="92" t="s">
        <v>220</v>
      </c>
      <c r="I3" s="92" t="s">
        <v>225</v>
      </c>
    </row>
    <row r="4" spans="1:9" ht="16.5">
      <c r="A4" s="91"/>
      <c r="B4" s="92" t="s">
        <v>168</v>
      </c>
      <c r="C4" s="92" t="s">
        <v>169</v>
      </c>
      <c r="D4" s="92" t="s">
        <v>170</v>
      </c>
      <c r="E4" s="92" t="s">
        <v>167</v>
      </c>
      <c r="F4" s="92" t="s">
        <v>173</v>
      </c>
      <c r="G4" s="92" t="s">
        <v>174</v>
      </c>
      <c r="H4" s="92" t="s">
        <v>221</v>
      </c>
      <c r="I4" s="92" t="s">
        <v>226</v>
      </c>
    </row>
    <row r="5" spans="1:9" ht="16.5">
      <c r="A5" s="91"/>
      <c r="B5" s="92"/>
      <c r="C5" s="92" t="s">
        <v>218</v>
      </c>
      <c r="D5" s="92"/>
      <c r="E5" s="92" t="s">
        <v>171</v>
      </c>
      <c r="F5" s="92" t="s">
        <v>171</v>
      </c>
      <c r="G5" s="92" t="s">
        <v>175</v>
      </c>
      <c r="H5" s="92" t="s">
        <v>222</v>
      </c>
      <c r="I5" s="92" t="s">
        <v>227</v>
      </c>
    </row>
    <row r="6" spans="1:7" ht="16.5">
      <c r="A6" s="91"/>
      <c r="B6" s="92"/>
      <c r="C6" s="92"/>
      <c r="D6" s="92"/>
      <c r="E6" s="92"/>
      <c r="F6" s="91"/>
      <c r="G6" s="92"/>
    </row>
    <row r="7" spans="1:9" s="104" customFormat="1" ht="16.5">
      <c r="A7" s="100" t="s">
        <v>228</v>
      </c>
      <c r="B7" s="101">
        <f>'CM_ HeatLoad'!E36</f>
        <v>11.370128982320173</v>
      </c>
      <c r="C7" s="101">
        <f>'CM_ HeatLoad'!E47+'CM_ HeatLoad'!F47</f>
        <v>14.927975777777778</v>
      </c>
      <c r="D7" s="101">
        <f>'CM_ HeatLoad'!E59+'CM_ HeatLoad'!F59</f>
        <v>153.482888070922</v>
      </c>
      <c r="E7" s="101">
        <f>RDR!D56</f>
        <v>4.286243168894185</v>
      </c>
      <c r="F7" s="101">
        <f>E7</f>
        <v>4.286243168894185</v>
      </c>
      <c r="G7" s="101">
        <f aca="true" t="shared" si="0" ref="G7:G12">E7/F7</f>
        <v>1</v>
      </c>
      <c r="H7" s="102">
        <v>10</v>
      </c>
      <c r="I7" s="103">
        <f aca="true" t="shared" si="1" ref="I7:I12">E7*H7</f>
        <v>42.86243168894185</v>
      </c>
    </row>
    <row r="8" spans="1:9" s="104" customFormat="1" ht="16.5">
      <c r="A8" s="100" t="s">
        <v>229</v>
      </c>
      <c r="B8" s="101">
        <f>'CM_ HeatLoad'!G36</f>
        <v>11.367450648727777</v>
      </c>
      <c r="C8" s="101">
        <f>'CM_ HeatLoad'!G47+'CM_ HeatLoad'!H47</f>
        <v>17.866221609168147</v>
      </c>
      <c r="D8" s="101">
        <f>'CM_ HeatLoad'!G59+'CM_ HeatLoad'!H59</f>
        <v>157.9933588777015</v>
      </c>
      <c r="E8" s="101">
        <f>'RDR revised'!D56</f>
        <v>4.4795861798444685</v>
      </c>
      <c r="F8" s="101">
        <f>F7</f>
        <v>4.286243168894185</v>
      </c>
      <c r="G8" s="101">
        <f t="shared" si="0"/>
        <v>1.0451078026448426</v>
      </c>
      <c r="H8" s="102">
        <v>10</v>
      </c>
      <c r="I8" s="103">
        <f t="shared" si="1"/>
        <v>44.79586179844468</v>
      </c>
    </row>
    <row r="9" spans="1:9" ht="16.5">
      <c r="A9" s="90" t="s">
        <v>230</v>
      </c>
      <c r="B9" s="93">
        <f>'CM_ HeatLoad'!I36</f>
        <v>11.109114081619753</v>
      </c>
      <c r="C9" s="93">
        <f>'CM_ HeatLoad'!I47+'CM_ HeatLoad'!J47</f>
        <v>15.864762379765015</v>
      </c>
      <c r="D9" s="93">
        <f>'CM_ HeatLoad'!I59+'CM_ HeatLoad'!J59</f>
        <v>133.84138478492594</v>
      </c>
      <c r="E9" s="93">
        <f>'TDR Power KCS'!D56</f>
        <v>3.371366547553193</v>
      </c>
      <c r="F9" s="93">
        <f>F8</f>
        <v>4.286243168894185</v>
      </c>
      <c r="G9" s="93">
        <f t="shared" si="0"/>
        <v>0.7865551287476249</v>
      </c>
      <c r="H9" s="98">
        <v>12</v>
      </c>
      <c r="I9" s="99">
        <f t="shared" si="1"/>
        <v>40.456398570638314</v>
      </c>
    </row>
    <row r="10" spans="1:9" ht="16.5">
      <c r="A10" s="90" t="s">
        <v>231</v>
      </c>
      <c r="B10" s="93">
        <f>'CM_ HeatLoad'!K36</f>
        <v>11.109114081619753</v>
      </c>
      <c r="C10" s="93">
        <f>'CM_ HeatLoad'!K47+'CM_ HeatLoad'!L47</f>
        <v>15.864762379765015</v>
      </c>
      <c r="D10" s="93">
        <f>'CM_ HeatLoad'!K59+'CM_ HeatLoad'!L59</f>
        <v>133.84138478492594</v>
      </c>
      <c r="E10" s="93">
        <f>'TDR Power DKS'!D56</f>
        <v>4.160825600224716</v>
      </c>
      <c r="F10" s="93">
        <f>F9</f>
        <v>4.286243168894185</v>
      </c>
      <c r="G10" s="93">
        <f t="shared" si="0"/>
        <v>0.9707395115658299</v>
      </c>
      <c r="H10" s="98">
        <v>10</v>
      </c>
      <c r="I10" s="99">
        <f t="shared" si="1"/>
        <v>41.60825600224716</v>
      </c>
    </row>
    <row r="11" spans="1:9" ht="16.5">
      <c r="A11" s="90" t="s">
        <v>216</v>
      </c>
      <c r="B11" s="93">
        <f>'CM_ HeatLoad'!M36</f>
        <v>9.292722289139181</v>
      </c>
      <c r="C11" s="93">
        <f>'CM_ HeatLoad'!M47+'CM_ HeatLoad'!N47</f>
        <v>20.20479080266923</v>
      </c>
      <c r="D11" s="93">
        <f>'CM_ HeatLoad'!M59+'CM_ HeatLoad'!N59</f>
        <v>169.26107625708033</v>
      </c>
      <c r="E11" s="93">
        <f>'e+ 5 GeV source'!D59</f>
        <v>0.6512775169952831</v>
      </c>
      <c r="F11" s="93">
        <f>F10</f>
        <v>4.286243168894185</v>
      </c>
      <c r="G11" s="93">
        <f t="shared" si="0"/>
        <v>0.15194600290568847</v>
      </c>
      <c r="H11" s="98">
        <v>1</v>
      </c>
      <c r="I11" s="93">
        <f t="shared" si="1"/>
        <v>0.6512775169952831</v>
      </c>
    </row>
    <row r="12" spans="1:9" ht="16.5">
      <c r="A12" s="90" t="s">
        <v>217</v>
      </c>
      <c r="B12" s="93">
        <f>'CM_ HeatLoad'!O35+'CM_ HeatLoad'!P35+'CM_ HeatLoad'!R35</f>
        <v>12.194953923531575</v>
      </c>
      <c r="C12" s="93">
        <f>'CM_ HeatLoad'!O47+'CM_ HeatLoad'!P47+'CM_ HeatLoad'!R47</f>
        <v>21.82765932197065</v>
      </c>
      <c r="D12" s="93">
        <f>'CM_ HeatLoad'!O59+'CM_ HeatLoad'!P59+'CM_ HeatLoad'!R59</f>
        <v>195.74965908591173</v>
      </c>
      <c r="E12" s="93">
        <f>'e- 5 GeV source'!D59</f>
        <v>0.6969626777943965</v>
      </c>
      <c r="F12" s="93">
        <f>F11</f>
        <v>4.286243168894185</v>
      </c>
      <c r="G12" s="93">
        <f t="shared" si="0"/>
        <v>0.1626045584283094</v>
      </c>
      <c r="H12" s="98">
        <v>1</v>
      </c>
      <c r="I12" s="93">
        <f t="shared" si="1"/>
        <v>0.6969626777943965</v>
      </c>
    </row>
    <row r="13" spans="1:7" ht="16.5">
      <c r="A13" s="90"/>
      <c r="B13" s="92"/>
      <c r="C13" s="91"/>
      <c r="D13" s="91"/>
      <c r="E13" s="91"/>
      <c r="F13" s="91"/>
      <c r="G13" s="91"/>
    </row>
    <row r="14" spans="1:7" ht="16.5">
      <c r="A14" s="90"/>
      <c r="B14" s="92"/>
      <c r="C14" s="91"/>
      <c r="D14" s="91"/>
      <c r="E14" s="91"/>
      <c r="F14" s="91"/>
      <c r="G14" s="91"/>
    </row>
    <row r="15" spans="2:7" ht="16.5">
      <c r="B15" s="92"/>
      <c r="C15" s="91"/>
      <c r="D15" s="91"/>
      <c r="E15" s="91"/>
      <c r="F15" s="91"/>
      <c r="G15" s="91"/>
    </row>
    <row r="16" spans="1:7" ht="16.5">
      <c r="A16" s="90"/>
      <c r="B16" s="91"/>
      <c r="C16" s="91"/>
      <c r="D16" s="91"/>
      <c r="E16" s="91"/>
      <c r="F16" s="91"/>
      <c r="G16" s="91"/>
    </row>
    <row r="17" spans="1:7" ht="16.5">
      <c r="A17" s="90"/>
      <c r="B17" s="91"/>
      <c r="C17" s="91"/>
      <c r="D17" s="91"/>
      <c r="E17" s="91"/>
      <c r="F17" s="91"/>
      <c r="G17" s="91"/>
    </row>
    <row r="18" spans="1:7" ht="16.5">
      <c r="A18" s="90"/>
      <c r="B18" s="91"/>
      <c r="C18" s="91"/>
      <c r="D18" s="91"/>
      <c r="E18" s="91"/>
      <c r="F18" s="91"/>
      <c r="G18" s="91"/>
    </row>
    <row r="19" spans="1:7" ht="16.5">
      <c r="A19" s="90"/>
      <c r="B19" s="91"/>
      <c r="C19" s="91"/>
      <c r="D19" s="91"/>
      <c r="E19" s="91"/>
      <c r="F19" s="91"/>
      <c r="G19" s="91"/>
    </row>
    <row r="20" spans="1:7" ht="16.5">
      <c r="A20" s="90"/>
      <c r="B20" s="91"/>
      <c r="C20" s="91"/>
      <c r="D20" s="91"/>
      <c r="E20" s="91"/>
      <c r="F20" s="91"/>
      <c r="G20" s="91"/>
    </row>
    <row r="21" spans="1:7" ht="16.5">
      <c r="A21" s="90"/>
      <c r="B21" s="91"/>
      <c r="C21" s="91"/>
      <c r="D21" s="91"/>
      <c r="E21" s="91"/>
      <c r="F21" s="91"/>
      <c r="G21" s="91"/>
    </row>
    <row r="22" spans="1:7" ht="16.5">
      <c r="A22" s="90"/>
      <c r="B22" s="91"/>
      <c r="C22" s="91"/>
      <c r="D22" s="91"/>
      <c r="E22" s="91"/>
      <c r="F22" s="91"/>
      <c r="G22" s="91"/>
    </row>
    <row r="23" spans="1:7" ht="16.5">
      <c r="A23" s="90"/>
      <c r="B23" s="91"/>
      <c r="C23" s="91"/>
      <c r="D23" s="91"/>
      <c r="E23" s="91"/>
      <c r="F23" s="91"/>
      <c r="G23" s="91"/>
    </row>
    <row r="24" spans="1:7" ht="16.5">
      <c r="A24" s="90"/>
      <c r="B24" s="91"/>
      <c r="C24" s="91"/>
      <c r="D24" s="91"/>
      <c r="E24" s="91"/>
      <c r="F24" s="91"/>
      <c r="G24" s="91"/>
    </row>
    <row r="25" spans="1:7" ht="16.5">
      <c r="A25" s="90"/>
      <c r="B25" s="91"/>
      <c r="C25" s="91"/>
      <c r="D25" s="91"/>
      <c r="E25" s="91"/>
      <c r="F25" s="91"/>
      <c r="G25" s="91"/>
    </row>
    <row r="26" spans="1:7" ht="16.5">
      <c r="A26" s="90"/>
      <c r="B26" s="91"/>
      <c r="C26" s="91"/>
      <c r="D26" s="91"/>
      <c r="E26" s="91"/>
      <c r="F26" s="91"/>
      <c r="G26" s="91"/>
    </row>
    <row r="27" spans="1:7" ht="16.5">
      <c r="A27" s="90"/>
      <c r="B27" s="91"/>
      <c r="C27" s="91"/>
      <c r="D27" s="91"/>
      <c r="E27" s="91"/>
      <c r="F27" s="91"/>
      <c r="G27" s="91"/>
    </row>
    <row r="28" spans="1:7" ht="16.5">
      <c r="A28" s="90"/>
      <c r="B28" s="91"/>
      <c r="C28" s="91"/>
      <c r="D28" s="91"/>
      <c r="E28" s="91"/>
      <c r="F28" s="91"/>
      <c r="G28" s="91"/>
    </row>
    <row r="29" spans="1:7" ht="16.5">
      <c r="A29" s="90"/>
      <c r="B29" s="91"/>
      <c r="C29" s="91"/>
      <c r="D29" s="91"/>
      <c r="E29" s="91"/>
      <c r="F29" s="91"/>
      <c r="G29" s="91"/>
    </row>
    <row r="30" spans="1:7" ht="16.5">
      <c r="A30" s="90"/>
      <c r="B30" s="91"/>
      <c r="C30" s="91"/>
      <c r="D30" s="91"/>
      <c r="E30" s="91"/>
      <c r="F30" s="91"/>
      <c r="G30" s="91"/>
    </row>
    <row r="31" spans="1:7" ht="16.5">
      <c r="A31" s="90"/>
      <c r="B31" s="91"/>
      <c r="C31" s="91"/>
      <c r="D31" s="91"/>
      <c r="E31" s="91"/>
      <c r="F31" s="91"/>
      <c r="G31" s="91"/>
    </row>
    <row r="32" spans="1:7" ht="16.5">
      <c r="A32" s="90"/>
      <c r="B32" s="91"/>
      <c r="C32" s="91"/>
      <c r="D32" s="91"/>
      <c r="E32" s="91"/>
      <c r="F32" s="91"/>
      <c r="G32" s="91"/>
    </row>
    <row r="33" spans="1:7" ht="16.5">
      <c r="A33" s="90"/>
      <c r="B33" s="91"/>
      <c r="C33" s="91"/>
      <c r="D33" s="91"/>
      <c r="E33" s="91"/>
      <c r="F33" s="91"/>
      <c r="G33" s="91"/>
    </row>
    <row r="34" spans="1:7" ht="16.5">
      <c r="A34" s="90"/>
      <c r="B34" s="91"/>
      <c r="C34" s="91"/>
      <c r="D34" s="91"/>
      <c r="E34" s="91"/>
      <c r="F34" s="91"/>
      <c r="G34" s="91"/>
    </row>
    <row r="35" spans="1:7" ht="16.5">
      <c r="A35" s="90"/>
      <c r="B35" s="91"/>
      <c r="C35" s="91"/>
      <c r="D35" s="91"/>
      <c r="E35" s="91"/>
      <c r="F35" s="91"/>
      <c r="G35" s="91"/>
    </row>
    <row r="36" spans="1:7" ht="16.5">
      <c r="A36" s="90"/>
      <c r="B36" s="91"/>
      <c r="C36" s="91"/>
      <c r="D36" s="91"/>
      <c r="E36" s="91"/>
      <c r="F36" s="91"/>
      <c r="G36" s="91"/>
    </row>
    <row r="37" spans="1:7" ht="16.5">
      <c r="A37" s="90"/>
      <c r="B37" s="91"/>
      <c r="C37" s="91"/>
      <c r="D37" s="91"/>
      <c r="E37" s="91"/>
      <c r="F37" s="91"/>
      <c r="G37" s="91"/>
    </row>
    <row r="38" spans="1:7" ht="16.5">
      <c r="A38" s="90"/>
      <c r="B38" s="91"/>
      <c r="C38" s="91"/>
      <c r="D38" s="91"/>
      <c r="E38" s="91"/>
      <c r="F38" s="91"/>
      <c r="G38" s="91"/>
    </row>
    <row r="39" spans="1:7" ht="16.5">
      <c r="A39" s="90"/>
      <c r="B39" s="91"/>
      <c r="C39" s="91"/>
      <c r="D39" s="91"/>
      <c r="E39" s="91"/>
      <c r="F39" s="91"/>
      <c r="G39" s="91"/>
    </row>
    <row r="40" spans="1:7" ht="16.5">
      <c r="A40" s="90"/>
      <c r="B40" s="91"/>
      <c r="C40" s="91"/>
      <c r="D40" s="91"/>
      <c r="E40" s="91"/>
      <c r="F40" s="91"/>
      <c r="G40" s="91"/>
    </row>
    <row r="41" spans="1:7" ht="16.5">
      <c r="A41" s="91"/>
      <c r="B41" s="91"/>
      <c r="C41" s="91"/>
      <c r="D41" s="91"/>
      <c r="E41" s="91"/>
      <c r="F41" s="91"/>
      <c r="G41" s="91"/>
    </row>
    <row r="42" spans="1:7" ht="16.5">
      <c r="A42" s="91"/>
      <c r="B42" s="91"/>
      <c r="C42" s="91"/>
      <c r="D42" s="91"/>
      <c r="E42" s="91"/>
      <c r="F42" s="91"/>
      <c r="G42" s="91"/>
    </row>
    <row r="43" spans="1:7" ht="16.5">
      <c r="A43" s="91"/>
      <c r="B43" s="91"/>
      <c r="C43" s="91"/>
      <c r="D43" s="91"/>
      <c r="E43" s="91"/>
      <c r="F43" s="91"/>
      <c r="G43" s="9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Fermilab Technical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Peterson</dc:creator>
  <cp:keywords/>
  <dc:description/>
  <cp:lastModifiedBy>Tom Peterson</cp:lastModifiedBy>
  <cp:lastPrinted>2005-11-21T21:51:18Z</cp:lastPrinted>
  <dcterms:created xsi:type="dcterms:W3CDTF">2005-09-29T21:54:06Z</dcterms:created>
  <dcterms:modified xsi:type="dcterms:W3CDTF">2013-01-21T20:20:00Z</dcterms:modified>
  <cp:category/>
  <cp:version/>
  <cp:contentType/>
  <cp:contentStatus/>
</cp:coreProperties>
</file>