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tdocs\materials\19NewMexico\Cryo\"/>
    </mc:Choice>
  </mc:AlternateContent>
  <xr:revisionPtr revIDLastSave="0" documentId="8_{11956C32-C71A-4F4A-A06B-444F5FB73086}" xr6:coauthVersionLast="36" xr6:coauthVersionMax="36" xr10:uidLastSave="{00000000-0000-0000-0000-000000000000}"/>
  <bookViews>
    <workbookView xWindow="32772" yWindow="32772" windowWidth="8040" windowHeight="3612"/>
  </bookViews>
  <sheets>
    <sheet name="Del-P" sheetId="1" r:id="rId1"/>
    <sheet name="Flow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11" i="1"/>
  <c r="B14" i="1"/>
  <c r="B17" i="1"/>
  <c r="B20" i="1"/>
  <c r="E64" i="1"/>
  <c r="B22" i="1"/>
  <c r="H29" i="1"/>
  <c r="M29" i="1"/>
  <c r="E29" i="1"/>
  <c r="E30" i="1"/>
  <c r="E31" i="1"/>
  <c r="E32" i="1"/>
  <c r="E33" i="1"/>
  <c r="E34" i="1"/>
  <c r="E35" i="1"/>
  <c r="E36" i="1"/>
  <c r="E37" i="1"/>
  <c r="E38" i="1"/>
  <c r="K39" i="1"/>
  <c r="F29" i="1"/>
  <c r="L29" i="1"/>
  <c r="L30" i="1"/>
  <c r="D31" i="1"/>
  <c r="D33" i="1"/>
  <c r="L34" i="1"/>
  <c r="D35" i="1"/>
  <c r="L36" i="1"/>
  <c r="L37" i="1"/>
  <c r="D38" i="1"/>
  <c r="E39" i="1"/>
  <c r="D40" i="1"/>
  <c r="E40" i="1"/>
  <c r="E41" i="1"/>
  <c r="D43" i="1"/>
  <c r="E43" i="1"/>
  <c r="E44" i="1"/>
  <c r="L44" i="1"/>
  <c r="D45" i="1"/>
  <c r="E45" i="1"/>
  <c r="E46" i="1"/>
  <c r="L46" i="1"/>
  <c r="D48" i="1"/>
  <c r="E48" i="1"/>
  <c r="E49" i="1"/>
  <c r="L49" i="1"/>
  <c r="D50" i="1"/>
  <c r="E50" i="1"/>
  <c r="E51" i="1"/>
  <c r="K51" i="1"/>
  <c r="B51" i="1"/>
  <c r="L51" i="1"/>
  <c r="D54" i="1"/>
  <c r="E54" i="1"/>
  <c r="K53" i="1"/>
  <c r="B53" i="1"/>
  <c r="L53" i="1"/>
  <c r="E55" i="1"/>
  <c r="K55" i="1"/>
  <c r="B55" i="1"/>
  <c r="L55" i="1"/>
  <c r="D57" i="1"/>
  <c r="E57" i="1"/>
  <c r="E58" i="1"/>
  <c r="E59" i="1"/>
  <c r="E60" i="1"/>
  <c r="E61" i="1"/>
  <c r="E62" i="1"/>
  <c r="K62" i="1"/>
  <c r="B62" i="1"/>
  <c r="L62" i="1"/>
  <c r="L58" i="1"/>
  <c r="L59" i="1"/>
  <c r="L60" i="1"/>
  <c r="L61" i="1"/>
  <c r="D64" i="1"/>
  <c r="L65" i="1"/>
  <c r="F9" i="2"/>
  <c r="G9" i="2"/>
  <c r="L50" i="1"/>
  <c r="L57" i="1"/>
  <c r="B39" i="1"/>
  <c r="K41" i="1"/>
  <c r="B41" i="1"/>
  <c r="L41" i="1"/>
  <c r="F30" i="1"/>
  <c r="L54" i="1"/>
  <c r="L38" i="1"/>
  <c r="I50" i="1"/>
  <c r="J50" i="1"/>
  <c r="I48" i="1"/>
  <c r="J48" i="1"/>
  <c r="L48" i="1"/>
  <c r="I45" i="1"/>
  <c r="J45" i="1"/>
  <c r="L45" i="1"/>
  <c r="I43" i="1"/>
  <c r="J43" i="1"/>
  <c r="L43" i="1"/>
  <c r="I31" i="1"/>
  <c r="J31" i="1"/>
  <c r="L31" i="1"/>
  <c r="I35" i="1"/>
  <c r="J35" i="1"/>
  <c r="L35" i="1"/>
  <c r="I33" i="1"/>
  <c r="J33" i="1"/>
  <c r="L33" i="1"/>
  <c r="I38" i="1"/>
  <c r="J38" i="1"/>
  <c r="I57" i="1"/>
  <c r="J57" i="1"/>
  <c r="I64" i="1"/>
  <c r="J64" i="1"/>
  <c r="L64" i="1"/>
  <c r="E65" i="1"/>
  <c r="I40" i="1"/>
  <c r="J40" i="1"/>
  <c r="L40" i="1"/>
  <c r="I54" i="1"/>
  <c r="J54" i="1"/>
  <c r="G30" i="1"/>
  <c r="L39" i="1"/>
  <c r="B67" i="1"/>
  <c r="H30" i="1"/>
  <c r="M30" i="1"/>
  <c r="F31" i="1"/>
  <c r="G31" i="1"/>
  <c r="H31" i="1"/>
  <c r="M31" i="1"/>
  <c r="N31" i="1"/>
  <c r="F32" i="1"/>
  <c r="G32" i="1"/>
  <c r="H32" i="1"/>
  <c r="M32" i="1"/>
  <c r="F33" i="1"/>
  <c r="G33" i="1"/>
  <c r="H33" i="1"/>
  <c r="M33" i="1"/>
  <c r="N33" i="1"/>
  <c r="F34" i="1"/>
  <c r="G34" i="1"/>
  <c r="H34" i="1"/>
  <c r="M34" i="1"/>
  <c r="F35" i="1"/>
  <c r="G35" i="1"/>
  <c r="H35" i="1"/>
  <c r="M35" i="1"/>
  <c r="N35" i="1"/>
  <c r="F36" i="1"/>
  <c r="G36" i="1"/>
  <c r="H36" i="1"/>
  <c r="M36" i="1"/>
  <c r="F37" i="1"/>
  <c r="G37" i="1"/>
  <c r="H37" i="1"/>
  <c r="M37" i="1"/>
  <c r="F38" i="1"/>
  <c r="G38" i="1"/>
  <c r="H38" i="1"/>
  <c r="M38" i="1"/>
  <c r="H39" i="1"/>
  <c r="M39" i="1"/>
  <c r="N38" i="1"/>
  <c r="F39" i="1"/>
  <c r="F40" i="1"/>
  <c r="G39" i="1"/>
  <c r="G40" i="1"/>
  <c r="H40" i="1"/>
  <c r="M40" i="1"/>
  <c r="N40" i="1"/>
  <c r="F41" i="1"/>
  <c r="G41" i="1"/>
  <c r="H41" i="1"/>
  <c r="M41" i="1"/>
  <c r="F43" i="1"/>
  <c r="G43" i="1"/>
  <c r="G44" i="1"/>
  <c r="H43" i="1"/>
  <c r="M43" i="1"/>
  <c r="N43" i="1"/>
  <c r="F44" i="1"/>
  <c r="G45" i="1"/>
  <c r="H44" i="1"/>
  <c r="M44" i="1"/>
  <c r="F45" i="1"/>
  <c r="H45" i="1"/>
  <c r="M45" i="1"/>
  <c r="N45" i="1"/>
  <c r="F46" i="1"/>
  <c r="G46" i="1"/>
  <c r="H46" i="1"/>
  <c r="M46" i="1"/>
  <c r="F48" i="1"/>
  <c r="G48" i="1"/>
  <c r="H48" i="1"/>
  <c r="M48" i="1"/>
  <c r="N48" i="1"/>
  <c r="F49" i="1"/>
  <c r="G49" i="1"/>
  <c r="H49" i="1"/>
  <c r="M49" i="1"/>
  <c r="F50" i="1"/>
  <c r="G50" i="1"/>
  <c r="H50" i="1"/>
  <c r="M50" i="1"/>
  <c r="N50" i="1"/>
  <c r="F51" i="1"/>
  <c r="G51" i="1"/>
  <c r="H51" i="1"/>
  <c r="M51" i="1"/>
  <c r="F53" i="1"/>
  <c r="G53" i="1"/>
  <c r="H53" i="1"/>
  <c r="M53" i="1"/>
  <c r="F54" i="1"/>
  <c r="G54" i="1"/>
  <c r="H54" i="1"/>
  <c r="M54" i="1"/>
  <c r="N54" i="1"/>
  <c r="F55" i="1"/>
  <c r="G55" i="1"/>
  <c r="H55" i="1"/>
  <c r="M55" i="1"/>
  <c r="F57" i="1"/>
  <c r="G57" i="1"/>
  <c r="H57" i="1"/>
  <c r="M57" i="1"/>
  <c r="N57" i="1"/>
  <c r="F58" i="1"/>
  <c r="G58" i="1"/>
  <c r="H58" i="1"/>
  <c r="M58" i="1"/>
  <c r="F59" i="1"/>
  <c r="G59" i="1"/>
  <c r="H59" i="1"/>
  <c r="M59" i="1"/>
  <c r="F60" i="1"/>
  <c r="G60" i="1"/>
  <c r="H60" i="1"/>
  <c r="M60" i="1"/>
  <c r="F61" i="1"/>
  <c r="G61" i="1"/>
  <c r="H61" i="1"/>
  <c r="M61" i="1"/>
  <c r="F62" i="1"/>
  <c r="G62" i="1"/>
  <c r="H62" i="1"/>
  <c r="M62" i="1"/>
  <c r="F64" i="1"/>
  <c r="G64" i="1"/>
  <c r="H64" i="1"/>
  <c r="M64" i="1"/>
  <c r="N64" i="1"/>
  <c r="N67" i="1"/>
  <c r="F65" i="1"/>
  <c r="G65" i="1"/>
  <c r="H65" i="1"/>
  <c r="M65" i="1"/>
  <c r="M67" i="1"/>
  <c r="N68" i="1"/>
  <c r="F67" i="1"/>
  <c r="F71" i="1"/>
</calcChain>
</file>

<file path=xl/sharedStrings.xml><?xml version="1.0" encoding="utf-8"?>
<sst xmlns="http://schemas.openxmlformats.org/spreadsheetml/2006/main" count="115" uniqueCount="92">
  <si>
    <t>pressure (bar)</t>
  </si>
  <si>
    <t>Helium density</t>
  </si>
  <si>
    <t>(g/cm^3)</t>
  </si>
  <si>
    <t xml:space="preserve">This spreadsheet is Mayling's from 10 January 2008, originally for a 1.3 GHz dressed cavity, modified by Tom P. for my favorite equations and units.  </t>
  </si>
  <si>
    <t xml:space="preserve">assumed constant </t>
  </si>
  <si>
    <t xml:space="preserve">Note:  my empirical scaling of density </t>
  </si>
  <si>
    <t>latent heat</t>
  </si>
  <si>
    <t>Heat input</t>
  </si>
  <si>
    <t>Mass flow</t>
  </si>
  <si>
    <t>(J/g)</t>
  </si>
  <si>
    <t>(W)</t>
  </si>
  <si>
    <t>(g/sec)</t>
  </si>
  <si>
    <t>Pressure</t>
  </si>
  <si>
    <t>3.9-GHz helium vessel surface area</t>
  </si>
  <si>
    <t>in^2</t>
  </si>
  <si>
    <t>cm^2</t>
  </si>
  <si>
    <t>Heat flux for loss of insul vacuum</t>
  </si>
  <si>
    <t>W/cm^2</t>
  </si>
  <si>
    <t>Inputs highlighted</t>
  </si>
  <si>
    <t>gr/cm-sec</t>
  </si>
  <si>
    <t>d_2-16cm</t>
  </si>
  <si>
    <t>cm</t>
  </si>
  <si>
    <t>d_2cm</t>
  </si>
  <si>
    <t>d_3-26cm</t>
  </si>
  <si>
    <t>d_4-26cm</t>
  </si>
  <si>
    <t>d_6-357cm</t>
  </si>
  <si>
    <t>L (cm)</t>
  </si>
  <si>
    <t>d (cm)</t>
  </si>
  <si>
    <t xml:space="preserve">Velocity </t>
  </si>
  <si>
    <t>head</t>
  </si>
  <si>
    <t>Reynolds</t>
  </si>
  <si>
    <t xml:space="preserve">Friction </t>
  </si>
  <si>
    <t>factor</t>
  </si>
  <si>
    <t>Fitting ev</t>
  </si>
  <si>
    <t>g/sec</t>
  </si>
  <si>
    <t>(bar)</t>
  </si>
  <si>
    <t>bar at helium vessel, start of calc's</t>
  </si>
  <si>
    <t>factor 4 for flex hose relative to pipe</t>
  </si>
  <si>
    <t>on Rh)</t>
  </si>
  <si>
    <t xml:space="preserve">(Based  </t>
  </si>
  <si>
    <t xml:space="preserve">Total </t>
  </si>
  <si>
    <t>L (in)</t>
  </si>
  <si>
    <t>Mass flow rate helium</t>
  </si>
  <si>
    <t>Vessel's helium pressure</t>
  </si>
  <si>
    <t>Helium temperature</t>
  </si>
  <si>
    <t>K</t>
  </si>
  <si>
    <t>absolute viscosity</t>
  </si>
  <si>
    <t>d_2-16</t>
  </si>
  <si>
    <t>inch</t>
  </si>
  <si>
    <t>d_2</t>
  </si>
  <si>
    <t>d_3-26</t>
  </si>
  <si>
    <t>d_4-26</t>
  </si>
  <si>
    <t>d_6-357</t>
  </si>
  <si>
    <t>Beta</t>
  </si>
  <si>
    <t>Piping within HTC</t>
  </si>
  <si>
    <t>Entrance into vent pipe</t>
  </si>
  <si>
    <t>Mitre</t>
  </si>
  <si>
    <t>Straight run</t>
  </si>
  <si>
    <t>90 deg bend</t>
  </si>
  <si>
    <t>Vent line to LL dewar</t>
  </si>
  <si>
    <t>Thru LL dewar</t>
  </si>
  <si>
    <t xml:space="preserve">  straight run</t>
  </si>
  <si>
    <t xml:space="preserve">  tee thru</t>
  </si>
  <si>
    <t xml:space="preserve">  2-90 deg bends</t>
  </si>
  <si>
    <t>Sudden contraction</t>
  </si>
  <si>
    <t>Flexhose assy</t>
  </si>
  <si>
    <t>Sudden expansion</t>
  </si>
  <si>
    <t>Pumping line weldment</t>
  </si>
  <si>
    <t xml:space="preserve">  helicoflex flange</t>
  </si>
  <si>
    <t xml:space="preserve">  90 deg bend</t>
  </si>
  <si>
    <t xml:space="preserve">  tee branch</t>
  </si>
  <si>
    <t>Helium vent line branch</t>
  </si>
  <si>
    <t>Expansion 2 to 3-inch</t>
  </si>
  <si>
    <t>3-inch diameter piping</t>
  </si>
  <si>
    <t>BS&amp;B LPS burst disk</t>
  </si>
  <si>
    <t>Expansion 3 to 4-inch</t>
  </si>
  <si>
    <t>4-inch diameter piping</t>
  </si>
  <si>
    <t>90 deg elbow</t>
  </si>
  <si>
    <t>Expansion 4 to 6-inch</t>
  </si>
  <si>
    <t>6-inch diameter piping</t>
  </si>
  <si>
    <t>Exit</t>
  </si>
  <si>
    <t>Calculate the pressure drop in the helium vent line by re-estimating the density of helium as the pressure drops</t>
  </si>
  <si>
    <t>Formulas come from "Transport Phenomena" by Bird, Stewart, and Lightfoot</t>
  </si>
  <si>
    <t>on Re and</t>
  </si>
  <si>
    <t xml:space="preserve">Pressure drop </t>
  </si>
  <si>
    <t>due to friction</t>
  </si>
  <si>
    <t>in straight</t>
  </si>
  <si>
    <t>sections</t>
  </si>
  <si>
    <t>Sanity check on pressure drop sum</t>
  </si>
  <si>
    <t>drop (bar)</t>
  </si>
  <si>
    <t>pressure)</t>
  </si>
  <si>
    <t xml:space="preserve">(Adjusted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</si>
</sst>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5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color indexed="14"/>
      <name val="Arial"/>
    </font>
    <font>
      <sz val="10"/>
      <color indexed="57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Fill="1" applyBorder="1" applyAlignment="1"/>
    <xf numFmtId="0" fontId="0" fillId="0" borderId="1" xfId="0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3" fillId="0" borderId="0" xfId="0" applyFont="1"/>
    <xf numFmtId="0" fontId="0" fillId="0" borderId="0" xfId="0" applyFill="1"/>
    <xf numFmtId="11" fontId="0" fillId="2" borderId="0" xfId="0" applyNumberFormat="1" applyFill="1"/>
    <xf numFmtId="11" fontId="0" fillId="0" borderId="0" xfId="0" applyNumberFormat="1" applyFill="1"/>
    <xf numFmtId="0" fontId="0" fillId="0" borderId="0" xfId="0" applyAlignment="1">
      <alignment horizontal="center"/>
    </xf>
    <xf numFmtId="164" fontId="0" fillId="0" borderId="1" xfId="0" applyNumberFormat="1" applyFill="1" applyBorder="1"/>
    <xf numFmtId="0" fontId="1" fillId="2" borderId="0" xfId="0" applyFont="1" applyFill="1"/>
    <xf numFmtId="0" fontId="4" fillId="2" borderId="0" xfId="0" applyFont="1" applyFill="1"/>
    <xf numFmtId="164" fontId="0" fillId="0" borderId="0" xfId="0" applyNumberFormat="1" applyFill="1" applyAlignment="1">
      <alignment horizontal="center"/>
    </xf>
    <xf numFmtId="2" fontId="0" fillId="0" borderId="1" xfId="0" applyNumberForma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4" xfId="0" applyNumberFormat="1" applyFill="1" applyBorder="1"/>
    <xf numFmtId="11" fontId="0" fillId="0" borderId="4" xfId="0" applyNumberFormat="1" applyFill="1" applyBorder="1" applyAlignment="1">
      <alignment horizontal="center"/>
    </xf>
    <xf numFmtId="165" fontId="0" fillId="0" borderId="4" xfId="0" applyNumberFormat="1" applyFill="1" applyBorder="1"/>
    <xf numFmtId="164" fontId="0" fillId="2" borderId="2" xfId="0" applyNumberFormat="1" applyFill="1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0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Fill="1" applyBorder="1"/>
    <xf numFmtId="2" fontId="0" fillId="0" borderId="0" xfId="0" applyNumberFormat="1" applyBorder="1" applyAlignment="1">
      <alignment horizontal="center"/>
    </xf>
    <xf numFmtId="2" fontId="0" fillId="2" borderId="0" xfId="0" applyNumberForma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workbookViewId="0">
      <selection activeCell="H12" sqref="H12"/>
    </sheetView>
  </sheetViews>
  <sheetFormatPr defaultColWidth="8.77734375" defaultRowHeight="13.2" x14ac:dyDescent="0.25"/>
  <cols>
    <col min="1" max="1" width="20.44140625" customWidth="1"/>
    <col min="2" max="3" width="8.77734375" customWidth="1"/>
    <col min="4" max="4" width="7.44140625" customWidth="1"/>
    <col min="5" max="5" width="6.109375" bestFit="1" customWidth="1"/>
    <col min="6" max="6" width="14.44140625" bestFit="1" customWidth="1"/>
    <col min="7" max="7" width="14.44140625" customWidth="1"/>
    <col min="8" max="11" width="8.77734375" customWidth="1"/>
    <col min="12" max="12" width="6.6640625" bestFit="1" customWidth="1"/>
    <col min="13" max="13" width="8.6640625" bestFit="1" customWidth="1"/>
    <col min="14" max="14" width="12.109375" bestFit="1" customWidth="1"/>
  </cols>
  <sheetData>
    <row r="1" spans="1:13" x14ac:dyDescent="0.25">
      <c r="A1" t="s">
        <v>81</v>
      </c>
      <c r="F1" s="1"/>
      <c r="G1" s="1"/>
      <c r="M1" s="1"/>
    </row>
    <row r="2" spans="1:13" x14ac:dyDescent="0.25">
      <c r="A2" s="21" t="s">
        <v>3</v>
      </c>
      <c r="F2" s="1"/>
      <c r="G2" s="1"/>
      <c r="M2" s="1"/>
    </row>
    <row r="3" spans="1:13" x14ac:dyDescent="0.25">
      <c r="A3" s="20" t="s">
        <v>18</v>
      </c>
      <c r="F3" s="1"/>
      <c r="G3" s="1"/>
      <c r="M3" s="1"/>
    </row>
    <row r="4" spans="1:13" x14ac:dyDescent="0.25">
      <c r="A4" s="22" t="s">
        <v>82</v>
      </c>
      <c r="F4" s="1"/>
      <c r="G4" s="1"/>
      <c r="M4" s="1"/>
    </row>
    <row r="5" spans="1:13" x14ac:dyDescent="0.25">
      <c r="F5" s="1"/>
      <c r="G5" s="1"/>
      <c r="M5" s="1"/>
    </row>
    <row r="6" spans="1:13" x14ac:dyDescent="0.25">
      <c r="A6" s="22"/>
      <c r="B6" s="24"/>
      <c r="C6" s="22"/>
      <c r="F6" s="1"/>
      <c r="G6" s="1"/>
      <c r="M6" s="1"/>
    </row>
    <row r="7" spans="1:13" x14ac:dyDescent="0.25">
      <c r="A7" t="s">
        <v>47</v>
      </c>
      <c r="B7" s="1">
        <v>2.16</v>
      </c>
      <c r="C7" t="s">
        <v>48</v>
      </c>
      <c r="F7" s="1"/>
      <c r="G7" s="1"/>
      <c r="M7" s="1"/>
    </row>
    <row r="8" spans="1:13" x14ac:dyDescent="0.25">
      <c r="A8" t="s">
        <v>20</v>
      </c>
      <c r="B8" s="1">
        <f>B7*2.54</f>
        <v>5.4864000000000006</v>
      </c>
      <c r="C8" t="s">
        <v>21</v>
      </c>
      <c r="F8" s="1"/>
      <c r="G8" s="1"/>
      <c r="M8" s="1"/>
    </row>
    <row r="10" spans="1:13" x14ac:dyDescent="0.25">
      <c r="A10" t="s">
        <v>49</v>
      </c>
      <c r="B10" s="1">
        <v>2</v>
      </c>
      <c r="C10" t="s">
        <v>48</v>
      </c>
      <c r="F10" s="1"/>
      <c r="G10" s="1"/>
      <c r="M10" s="1"/>
    </row>
    <row r="11" spans="1:13" x14ac:dyDescent="0.25">
      <c r="A11" t="s">
        <v>22</v>
      </c>
      <c r="B11" s="1">
        <f>B10*2.54</f>
        <v>5.08</v>
      </c>
      <c r="C11" t="s">
        <v>21</v>
      </c>
    </row>
    <row r="13" spans="1:13" x14ac:dyDescent="0.25">
      <c r="A13" t="s">
        <v>50</v>
      </c>
      <c r="B13" s="1">
        <v>3.26</v>
      </c>
      <c r="C13" t="s">
        <v>48</v>
      </c>
      <c r="F13" s="1"/>
      <c r="G13" s="1"/>
      <c r="M13" s="1"/>
    </row>
    <row r="14" spans="1:13" x14ac:dyDescent="0.25">
      <c r="A14" t="s">
        <v>23</v>
      </c>
      <c r="B14" s="1">
        <f>B13*2.54</f>
        <v>8.2804000000000002</v>
      </c>
      <c r="C14" t="s">
        <v>21</v>
      </c>
    </row>
    <row r="16" spans="1:13" ht="12" customHeight="1" x14ac:dyDescent="0.25">
      <c r="A16" s="3" t="s">
        <v>51</v>
      </c>
      <c r="B16">
        <v>4.26</v>
      </c>
      <c r="C16" t="s">
        <v>48</v>
      </c>
      <c r="F16" s="1"/>
      <c r="G16" s="1"/>
      <c r="M16" s="1"/>
    </row>
    <row r="17" spans="1:14" x14ac:dyDescent="0.25">
      <c r="A17" s="3" t="s">
        <v>24</v>
      </c>
      <c r="B17" s="1">
        <f>B16*2.54</f>
        <v>10.820399999999999</v>
      </c>
      <c r="C17" t="s">
        <v>21</v>
      </c>
    </row>
    <row r="19" spans="1:14" x14ac:dyDescent="0.25">
      <c r="A19" s="3" t="s">
        <v>52</v>
      </c>
      <c r="B19">
        <v>6.3570000000000002</v>
      </c>
      <c r="C19" t="s">
        <v>48</v>
      </c>
    </row>
    <row r="20" spans="1:14" x14ac:dyDescent="0.25">
      <c r="A20" s="3" t="s">
        <v>25</v>
      </c>
      <c r="B20" s="1">
        <f>B19*2.54</f>
        <v>16.14678</v>
      </c>
      <c r="C20" t="s">
        <v>21</v>
      </c>
    </row>
    <row r="21" spans="1:14" x14ac:dyDescent="0.25">
      <c r="A21" s="3"/>
      <c r="B21" s="1"/>
    </row>
    <row r="22" spans="1:14" x14ac:dyDescent="0.25">
      <c r="A22" s="20" t="s">
        <v>42</v>
      </c>
      <c r="B22" s="53">
        <f>Flow!G9/0.9</f>
        <v>865.72752136752138</v>
      </c>
      <c r="C22" s="20" t="s">
        <v>34</v>
      </c>
      <c r="D22" s="20"/>
      <c r="E22" s="20"/>
      <c r="F22" s="20"/>
    </row>
    <row r="23" spans="1:14" x14ac:dyDescent="0.25">
      <c r="A23" s="27" t="s">
        <v>43</v>
      </c>
      <c r="B23" s="27">
        <v>2</v>
      </c>
      <c r="C23" s="27" t="s">
        <v>36</v>
      </c>
      <c r="D23" s="28"/>
      <c r="E23" s="20"/>
      <c r="F23" s="53"/>
      <c r="G23" s="1"/>
      <c r="J23" s="25" t="s">
        <v>39</v>
      </c>
      <c r="M23" s="1"/>
      <c r="N23" s="25" t="s">
        <v>84</v>
      </c>
    </row>
    <row r="24" spans="1:14" x14ac:dyDescent="0.25">
      <c r="A24" s="20" t="s">
        <v>44</v>
      </c>
      <c r="B24" s="20">
        <v>8</v>
      </c>
      <c r="C24" s="20" t="s">
        <v>45</v>
      </c>
      <c r="D24" s="20"/>
      <c r="E24" s="20"/>
      <c r="F24" s="53"/>
      <c r="G24" s="25" t="s">
        <v>91</v>
      </c>
      <c r="J24" s="25" t="s">
        <v>83</v>
      </c>
      <c r="N24" s="48" t="s">
        <v>85</v>
      </c>
    </row>
    <row r="25" spans="1:14" x14ac:dyDescent="0.25">
      <c r="A25" s="20" t="s">
        <v>46</v>
      </c>
      <c r="B25" s="23">
        <v>2.0000000000000002E-5</v>
      </c>
      <c r="C25" s="20" t="s">
        <v>19</v>
      </c>
      <c r="D25" s="20" t="s">
        <v>4</v>
      </c>
      <c r="E25" s="20"/>
      <c r="F25" s="53"/>
      <c r="G25" s="25" t="s">
        <v>90</v>
      </c>
      <c r="H25" s="25" t="s">
        <v>28</v>
      </c>
      <c r="J25" t="s">
        <v>38</v>
      </c>
      <c r="N25" s="25" t="s">
        <v>86</v>
      </c>
    </row>
    <row r="26" spans="1:14" x14ac:dyDescent="0.25">
      <c r="F26" s="1"/>
      <c r="G26" s="25" t="s">
        <v>1</v>
      </c>
      <c r="H26" s="33" t="s">
        <v>29</v>
      </c>
      <c r="I26" s="19"/>
      <c r="J26" s="33" t="s">
        <v>31</v>
      </c>
      <c r="K26" s="19"/>
      <c r="L26" s="19"/>
      <c r="M26" s="52" t="s">
        <v>12</v>
      </c>
      <c r="N26" s="25" t="s">
        <v>87</v>
      </c>
    </row>
    <row r="27" spans="1:14" x14ac:dyDescent="0.25">
      <c r="A27" s="31"/>
      <c r="B27" s="25" t="s">
        <v>33</v>
      </c>
      <c r="C27" s="25" t="s">
        <v>41</v>
      </c>
      <c r="D27" s="32" t="s">
        <v>26</v>
      </c>
      <c r="E27" s="32" t="s">
        <v>27</v>
      </c>
      <c r="F27" s="13" t="s">
        <v>0</v>
      </c>
      <c r="G27" s="13" t="s">
        <v>2</v>
      </c>
      <c r="H27" s="32" t="s">
        <v>35</v>
      </c>
      <c r="I27" s="32" t="s">
        <v>30</v>
      </c>
      <c r="J27" s="32" t="s">
        <v>32</v>
      </c>
      <c r="K27" s="32" t="s">
        <v>53</v>
      </c>
      <c r="L27" s="18" t="s">
        <v>45</v>
      </c>
      <c r="M27" s="13" t="s">
        <v>89</v>
      </c>
      <c r="N27" s="15" t="s">
        <v>35</v>
      </c>
    </row>
    <row r="28" spans="1:14" x14ac:dyDescent="0.25">
      <c r="A28" s="8" t="s">
        <v>54</v>
      </c>
      <c r="B28" s="5"/>
      <c r="C28" s="5"/>
      <c r="D28" s="5"/>
      <c r="E28" s="5"/>
      <c r="G28" s="4"/>
      <c r="H28" s="5"/>
      <c r="I28" s="5"/>
      <c r="J28" s="5"/>
      <c r="K28" s="5"/>
      <c r="L28" s="9"/>
      <c r="M28" s="6"/>
      <c r="N28" s="4"/>
    </row>
    <row r="29" spans="1:14" x14ac:dyDescent="0.25">
      <c r="A29" s="34" t="s">
        <v>55</v>
      </c>
      <c r="B29" s="11">
        <v>0.45</v>
      </c>
      <c r="C29" s="11"/>
      <c r="D29" s="11"/>
      <c r="E29" s="11">
        <f>B8</f>
        <v>5.4864000000000006</v>
      </c>
      <c r="F29" s="12">
        <f>B23</f>
        <v>2</v>
      </c>
      <c r="G29" s="42">
        <v>1.2999999999999999E-2</v>
      </c>
      <c r="H29" s="12">
        <f>0.00001176*$B22^2/(G29*E29^4)/14.5</f>
        <v>5.1606991726056768E-2</v>
      </c>
      <c r="I29" s="10"/>
      <c r="J29" s="10"/>
      <c r="K29" s="10"/>
      <c r="L29" s="37">
        <f>B29</f>
        <v>0.45</v>
      </c>
      <c r="M29" s="17">
        <f>H29*L29</f>
        <v>2.3223146276725545E-2</v>
      </c>
      <c r="N29" s="46"/>
    </row>
    <row r="30" spans="1:14" x14ac:dyDescent="0.25">
      <c r="A30" s="36" t="s">
        <v>56</v>
      </c>
      <c r="B30" s="16">
        <v>1.5</v>
      </c>
      <c r="C30" s="16"/>
      <c r="D30" s="16"/>
      <c r="E30" s="16">
        <f>E29</f>
        <v>5.4864000000000006</v>
      </c>
      <c r="F30" s="17">
        <f t="shared" ref="F30:F35" si="0">F29-M29</f>
        <v>1.9767768537232744</v>
      </c>
      <c r="G30" s="17">
        <f>G29*(F30/F29)^1.7</f>
        <v>1.2744428348665827E-2</v>
      </c>
      <c r="H30" s="17">
        <f>0.00001176*B22^2/(G30*E30^4)/14.5</f>
        <v>5.2641897626500553E-2</v>
      </c>
      <c r="I30" s="15"/>
      <c r="J30" s="15"/>
      <c r="K30" s="15"/>
      <c r="L30" s="39">
        <f>B30</f>
        <v>1.5</v>
      </c>
      <c r="M30" s="17">
        <f t="shared" ref="M30:M39" si="1">H30*L30</f>
        <v>7.8962846439750822E-2</v>
      </c>
      <c r="N30" s="43"/>
    </row>
    <row r="31" spans="1:14" x14ac:dyDescent="0.25">
      <c r="A31" s="36" t="s">
        <v>57</v>
      </c>
      <c r="B31" s="16"/>
      <c r="C31" s="16">
        <v>2</v>
      </c>
      <c r="D31" s="16">
        <f>2.54*C31</f>
        <v>5.08</v>
      </c>
      <c r="E31" s="16">
        <f t="shared" ref="E31:E38" si="2">E30</f>
        <v>5.4864000000000006</v>
      </c>
      <c r="F31" s="17">
        <f t="shared" si="0"/>
        <v>1.8978140072835235</v>
      </c>
      <c r="G31" s="17">
        <f t="shared" ref="G31:G41" si="3">G30*(F31/F30)^1.7</f>
        <v>1.1891141876134676E-2</v>
      </c>
      <c r="H31" s="17">
        <f>0.00001176*B22^2/(G31*E31^4)/14.5</f>
        <v>5.6419383388672265E-2</v>
      </c>
      <c r="I31" s="40">
        <f>4*B22/(B25*3.14*E31)</f>
        <v>10050648.939537825</v>
      </c>
      <c r="J31" s="40">
        <f>0.0791/I31^0.25</f>
        <v>1.4048435361348113E-3</v>
      </c>
      <c r="K31" s="15"/>
      <c r="L31" s="41">
        <f>D31*J31/(E31/4)</f>
        <v>5.2031242079067074E-3</v>
      </c>
      <c r="M31" s="17">
        <f t="shared" si="1"/>
        <v>2.9355705950477021E-4</v>
      </c>
      <c r="N31" s="44">
        <f>M31</f>
        <v>2.9355705950477021E-4</v>
      </c>
    </row>
    <row r="32" spans="1:14" x14ac:dyDescent="0.25">
      <c r="A32" s="36" t="s">
        <v>58</v>
      </c>
      <c r="B32" s="16">
        <v>0.7</v>
      </c>
      <c r="C32" s="16"/>
      <c r="D32" s="16"/>
      <c r="E32" s="16">
        <f t="shared" si="2"/>
        <v>5.4864000000000006</v>
      </c>
      <c r="F32" s="17">
        <f t="shared" si="0"/>
        <v>1.8975204502240186</v>
      </c>
      <c r="G32" s="17">
        <f t="shared" si="3"/>
        <v>1.1888015164352285E-2</v>
      </c>
      <c r="H32" s="17">
        <f>0.00001176*B22^2/(G32*E32^4)/14.5</f>
        <v>5.6434222463854933E-2</v>
      </c>
      <c r="I32" s="40"/>
      <c r="J32" s="40"/>
      <c r="K32" s="16"/>
      <c r="L32" s="39">
        <v>0.9</v>
      </c>
      <c r="M32" s="17">
        <f t="shared" si="1"/>
        <v>5.0790800217469442E-2</v>
      </c>
      <c r="N32" s="43"/>
    </row>
    <row r="33" spans="1:15" x14ac:dyDescent="0.25">
      <c r="A33" s="36" t="s">
        <v>59</v>
      </c>
      <c r="B33" s="16"/>
      <c r="C33" s="16">
        <v>42.43</v>
      </c>
      <c r="D33" s="16">
        <f>2.54*C33</f>
        <v>107.7722</v>
      </c>
      <c r="E33" s="16">
        <f t="shared" si="2"/>
        <v>5.4864000000000006</v>
      </c>
      <c r="F33" s="17">
        <f t="shared" si="0"/>
        <v>1.8467296500065491</v>
      </c>
      <c r="G33" s="17">
        <f t="shared" si="3"/>
        <v>1.1352147023779851E-2</v>
      </c>
      <c r="H33" s="17">
        <f>0.00001176*B22^2/(G33*E33^4)/14.5</f>
        <v>5.9098150423298142E-2</v>
      </c>
      <c r="I33" s="40">
        <f>4*B22/(B25*3.14*E33)</f>
        <v>10050648.939537825</v>
      </c>
      <c r="J33" s="40">
        <f>0.0791/I33^0.25</f>
        <v>1.4048435361348113E-3</v>
      </c>
      <c r="K33" s="16"/>
      <c r="L33" s="41">
        <f>D33*J33/(E33/4)</f>
        <v>0.1103842800707408</v>
      </c>
      <c r="M33" s="17">
        <f t="shared" si="1"/>
        <v>6.5235067879881115E-3</v>
      </c>
      <c r="N33" s="44">
        <f>M33</f>
        <v>6.5235067879881115E-3</v>
      </c>
    </row>
    <row r="34" spans="1:15" x14ac:dyDescent="0.25">
      <c r="A34" s="36" t="s">
        <v>60</v>
      </c>
      <c r="B34" s="16">
        <v>1.45</v>
      </c>
      <c r="C34" s="16"/>
      <c r="D34" s="16"/>
      <c r="E34" s="16">
        <f t="shared" si="2"/>
        <v>5.4864000000000006</v>
      </c>
      <c r="F34" s="17">
        <f t="shared" si="0"/>
        <v>1.840206143218561</v>
      </c>
      <c r="G34" s="17">
        <f t="shared" si="3"/>
        <v>1.1284059544309742E-2</v>
      </c>
      <c r="H34" s="17">
        <f>0.00001176*B22^2/(G34*E34^4)/14.5</f>
        <v>5.9454745856693997E-2</v>
      </c>
      <c r="I34" s="15"/>
      <c r="J34" s="16"/>
      <c r="K34" s="16"/>
      <c r="L34" s="39">
        <f>B34</f>
        <v>1.45</v>
      </c>
      <c r="M34" s="17">
        <f t="shared" si="1"/>
        <v>8.6209381492206291E-2</v>
      </c>
      <c r="N34" s="43"/>
    </row>
    <row r="35" spans="1:15" x14ac:dyDescent="0.25">
      <c r="A35" s="36" t="s">
        <v>61</v>
      </c>
      <c r="B35" s="16"/>
      <c r="C35" s="16">
        <v>3.8</v>
      </c>
      <c r="D35" s="16">
        <f>2.54*C35</f>
        <v>9.6519999999999992</v>
      </c>
      <c r="E35" s="16">
        <f t="shared" si="2"/>
        <v>5.4864000000000006</v>
      </c>
      <c r="F35" s="17">
        <f t="shared" si="0"/>
        <v>1.7539967617263548</v>
      </c>
      <c r="G35" s="17">
        <f t="shared" si="3"/>
        <v>1.0400190586912402E-2</v>
      </c>
      <c r="H35" s="17">
        <f>0.00001176*B22^2/(G35*E35^4)/14.5</f>
        <v>6.4507557513704308E-2</v>
      </c>
      <c r="I35" s="40">
        <f>4*B22/(B25*3.14*E35)</f>
        <v>10050648.939537825</v>
      </c>
      <c r="J35" s="40">
        <f>0.0791/I35^0.25</f>
        <v>1.4048435361348113E-3</v>
      </c>
      <c r="K35" s="16"/>
      <c r="L35" s="41">
        <f>D35*J35/(E35/4)</f>
        <v>9.885935995022745E-3</v>
      </c>
      <c r="M35" s="17">
        <f t="shared" si="1"/>
        <v>6.3771758477572935E-4</v>
      </c>
      <c r="N35" s="44">
        <f>M35</f>
        <v>6.3771758477572935E-4</v>
      </c>
    </row>
    <row r="36" spans="1:15" x14ac:dyDescent="0.25">
      <c r="A36" s="36" t="s">
        <v>62</v>
      </c>
      <c r="B36" s="16">
        <v>0.3</v>
      </c>
      <c r="C36" s="16"/>
      <c r="D36" s="16"/>
      <c r="E36" s="16">
        <f t="shared" si="2"/>
        <v>5.4864000000000006</v>
      </c>
      <c r="F36" s="17">
        <f t="shared" ref="F36:F41" si="4">F35-M35</f>
        <v>1.7533590441415789</v>
      </c>
      <c r="G36" s="17">
        <f t="shared" si="3"/>
        <v>1.0393763198374067E-2</v>
      </c>
      <c r="H36" s="17">
        <f>0.00001176*B22^2/(G36*E36^4)/14.5</f>
        <v>6.4547448275874497E-2</v>
      </c>
      <c r="I36" s="15"/>
      <c r="J36" s="16"/>
      <c r="K36" s="16"/>
      <c r="L36" s="39">
        <f>B36</f>
        <v>0.3</v>
      </c>
      <c r="M36" s="17">
        <f t="shared" si="1"/>
        <v>1.9364234482762348E-2</v>
      </c>
      <c r="N36" s="43"/>
    </row>
    <row r="37" spans="1:15" x14ac:dyDescent="0.25">
      <c r="A37" s="36" t="s">
        <v>63</v>
      </c>
      <c r="B37" s="16">
        <v>1.4</v>
      </c>
      <c r="C37" s="16"/>
      <c r="D37" s="16"/>
      <c r="E37" s="16">
        <f t="shared" si="2"/>
        <v>5.4864000000000006</v>
      </c>
      <c r="F37" s="17">
        <f t="shared" si="4"/>
        <v>1.7339948096588167</v>
      </c>
      <c r="G37" s="17">
        <f t="shared" si="3"/>
        <v>1.0199376134561806E-2</v>
      </c>
      <c r="H37" s="17">
        <f>0.00001176*B22^2/(G37*E37^4)/14.5</f>
        <v>6.5777640081861849E-2</v>
      </c>
      <c r="I37" s="15"/>
      <c r="J37" s="16"/>
      <c r="K37" s="16"/>
      <c r="L37" s="39">
        <f>B37</f>
        <v>1.4</v>
      </c>
      <c r="M37" s="17">
        <f t="shared" si="1"/>
        <v>9.2088696114606586E-2</v>
      </c>
      <c r="N37" s="43"/>
    </row>
    <row r="38" spans="1:15" x14ac:dyDescent="0.25">
      <c r="A38" s="36" t="s">
        <v>61</v>
      </c>
      <c r="B38" s="16"/>
      <c r="C38" s="16">
        <v>2.4</v>
      </c>
      <c r="D38" s="16">
        <f>2.54*C38</f>
        <v>6.0960000000000001</v>
      </c>
      <c r="E38" s="16">
        <f t="shared" si="2"/>
        <v>5.4864000000000006</v>
      </c>
      <c r="F38" s="17">
        <f t="shared" si="4"/>
        <v>1.6419061135442101</v>
      </c>
      <c r="G38" s="17">
        <f t="shared" si="3"/>
        <v>9.2957514616207153E-3</v>
      </c>
      <c r="H38" s="17">
        <f>0.00001176*B22^2/(G38*E38^4)/14.5</f>
        <v>7.217177602140494E-2</v>
      </c>
      <c r="I38" s="40">
        <f>4*B22/(B25*3.14*E38)</f>
        <v>10050648.939537825</v>
      </c>
      <c r="J38" s="40">
        <f>0.0791/I38^0.25</f>
        <v>1.4048435361348113E-3</v>
      </c>
      <c r="K38" s="16"/>
      <c r="L38" s="41">
        <f>D38*J38/(E38/4)</f>
        <v>6.2437490494880498E-3</v>
      </c>
      <c r="M38" s="17">
        <f t="shared" si="1"/>
        <v>4.506224579335115E-4</v>
      </c>
      <c r="N38" s="44">
        <f>M38</f>
        <v>4.506224579335115E-4</v>
      </c>
    </row>
    <row r="39" spans="1:15" x14ac:dyDescent="0.25">
      <c r="A39" s="36" t="s">
        <v>64</v>
      </c>
      <c r="B39" s="16">
        <f>0.45*(1-K39)</f>
        <v>6.4197530864197605E-2</v>
      </c>
      <c r="C39" s="16"/>
      <c r="D39" s="16"/>
      <c r="E39" s="16">
        <f>B11</f>
        <v>5.08</v>
      </c>
      <c r="F39" s="17">
        <f t="shared" si="4"/>
        <v>1.6414554910862766</v>
      </c>
      <c r="G39" s="17">
        <f t="shared" si="3"/>
        <v>9.2914147932088784E-3</v>
      </c>
      <c r="H39" s="17">
        <f>0.00001176*B22^2/(G38*E38^4)/14.5</f>
        <v>7.217177602140494E-2</v>
      </c>
      <c r="I39" s="15"/>
      <c r="J39" s="16"/>
      <c r="K39" s="16">
        <f>E39^2/E38^2</f>
        <v>0.8573388203017831</v>
      </c>
      <c r="L39" s="39">
        <f>B39</f>
        <v>6.4197530864197605E-2</v>
      </c>
      <c r="M39" s="17">
        <f t="shared" si="1"/>
        <v>4.6332498186581004E-3</v>
      </c>
      <c r="N39" s="43"/>
    </row>
    <row r="40" spans="1:15" x14ac:dyDescent="0.25">
      <c r="A40" s="36" t="s">
        <v>65</v>
      </c>
      <c r="B40" s="16"/>
      <c r="C40" s="16">
        <v>25.7</v>
      </c>
      <c r="D40" s="16">
        <f>2.54*C40</f>
        <v>65.278000000000006</v>
      </c>
      <c r="E40" s="16">
        <f>B11</f>
        <v>5.08</v>
      </c>
      <c r="F40" s="17">
        <f t="shared" si="4"/>
        <v>1.6368222412676185</v>
      </c>
      <c r="G40" s="17">
        <f t="shared" si="3"/>
        <v>9.2468739954003464E-3</v>
      </c>
      <c r="H40" s="17">
        <f>0.00001176*B22^2/(G40*E40^4)/14.5</f>
        <v>9.8707915018791545E-2</v>
      </c>
      <c r="I40" s="40">
        <f>4*B22/(B25*3.14*E40)</f>
        <v>10854700.854700852</v>
      </c>
      <c r="J40" s="40">
        <f>0.0791/I40^0.25</f>
        <v>1.3780723490038919E-3</v>
      </c>
      <c r="K40" s="16"/>
      <c r="L40" s="41">
        <f>D40*J40/(E40/4)</f>
        <v>7.0832918738800044E-2</v>
      </c>
      <c r="M40" s="17">
        <f>H40*L40*4</f>
        <v>2.7967078893609769E-2</v>
      </c>
      <c r="N40" s="44">
        <f>M40</f>
        <v>2.7967078893609769E-2</v>
      </c>
      <c r="O40" t="s">
        <v>37</v>
      </c>
    </row>
    <row r="41" spans="1:15" x14ac:dyDescent="0.25">
      <c r="A41" s="35" t="s">
        <v>66</v>
      </c>
      <c r="B41" s="13">
        <f>(1/K41-1)^2</f>
        <v>2.768896000000011E-2</v>
      </c>
      <c r="C41" s="13"/>
      <c r="D41" s="13"/>
      <c r="E41" s="13">
        <f>B11</f>
        <v>5.08</v>
      </c>
      <c r="F41" s="14">
        <f t="shared" si="4"/>
        <v>1.6088551623740088</v>
      </c>
      <c r="G41" s="17">
        <f t="shared" si="3"/>
        <v>8.9798932081084862E-3</v>
      </c>
      <c r="H41" s="14">
        <f>0.00001176*B22^2/(G41*E41^4)/14.5</f>
        <v>0.10164259544905092</v>
      </c>
      <c r="I41" s="18"/>
      <c r="J41" s="13"/>
      <c r="K41" s="13">
        <f>K39</f>
        <v>0.8573388203017831</v>
      </c>
      <c r="L41" s="38">
        <f>B41</f>
        <v>2.768896000000011E-2</v>
      </c>
      <c r="M41" s="14">
        <f>H41*L41</f>
        <v>2.8143777596849641E-3</v>
      </c>
      <c r="N41" s="31"/>
    </row>
    <row r="42" spans="1:15" x14ac:dyDescent="0.25">
      <c r="A42" s="9" t="s">
        <v>67</v>
      </c>
      <c r="B42" s="6"/>
      <c r="C42" s="6"/>
      <c r="D42" s="6"/>
      <c r="E42" s="5"/>
      <c r="F42" s="7"/>
      <c r="G42" s="7"/>
      <c r="H42" s="7"/>
      <c r="I42" s="5"/>
      <c r="J42" s="6"/>
      <c r="K42" s="6"/>
      <c r="L42" s="9"/>
      <c r="M42" s="6"/>
      <c r="N42" s="4"/>
    </row>
    <row r="43" spans="1:15" x14ac:dyDescent="0.25">
      <c r="A43" s="36" t="s">
        <v>68</v>
      </c>
      <c r="B43" s="16"/>
      <c r="C43" s="16">
        <v>1.2</v>
      </c>
      <c r="D43" s="16">
        <f>2.54*C43</f>
        <v>3.048</v>
      </c>
      <c r="E43" s="16">
        <f>B8</f>
        <v>5.4864000000000006</v>
      </c>
      <c r="F43" s="17">
        <f>F41-M41</f>
        <v>1.6060407846143239</v>
      </c>
      <c r="G43" s="17">
        <f>G41*(F43/F41)^1.7</f>
        <v>8.953204994351727E-3</v>
      </c>
      <c r="H43" s="17">
        <f>0.00001176*B22^2/(G43*E43^4)/14.5</f>
        <v>7.4933042732963237E-2</v>
      </c>
      <c r="I43" s="40">
        <f>4*B22/(B25*3.14*E43)</f>
        <v>10050648.939537825</v>
      </c>
      <c r="J43" s="40">
        <f>0.0791/I43^0.25</f>
        <v>1.4048435361348113E-3</v>
      </c>
      <c r="K43" s="16"/>
      <c r="L43" s="41">
        <f>D43*J43/(E43/4)</f>
        <v>3.1218745247440249E-3</v>
      </c>
      <c r="M43" s="17">
        <f>H43*L43</f>
        <v>2.3393155716959331E-4</v>
      </c>
      <c r="N43" s="47">
        <f>M43</f>
        <v>2.3393155716959331E-4</v>
      </c>
    </row>
    <row r="44" spans="1:15" x14ac:dyDescent="0.25">
      <c r="A44" s="36" t="s">
        <v>69</v>
      </c>
      <c r="B44" s="16">
        <v>0.7</v>
      </c>
      <c r="C44" s="16"/>
      <c r="D44" s="16"/>
      <c r="E44" s="16">
        <f>B8</f>
        <v>5.4864000000000006</v>
      </c>
      <c r="F44" s="17">
        <f>F43-M43</f>
        <v>1.6058068530571543</v>
      </c>
      <c r="G44" s="17">
        <f>G43*(F44/F43)^1.7</f>
        <v>8.9509881380109933E-3</v>
      </c>
      <c r="H44" s="17">
        <f>0.00001176*B22^2/(G44*E44^4)/14.5</f>
        <v>7.4951601107564117E-2</v>
      </c>
      <c r="I44" s="40"/>
      <c r="J44" s="40"/>
      <c r="K44" s="16"/>
      <c r="L44" s="41">
        <f>B44</f>
        <v>0.7</v>
      </c>
      <c r="M44" s="17">
        <f>H44*L44</f>
        <v>5.2466120775294882E-2</v>
      </c>
      <c r="N44" s="43"/>
    </row>
    <row r="45" spans="1:15" x14ac:dyDescent="0.25">
      <c r="A45" s="36" t="s">
        <v>61</v>
      </c>
      <c r="B45" s="16"/>
      <c r="C45" s="16">
        <v>6.3</v>
      </c>
      <c r="D45" s="16">
        <f>2.54*C45</f>
        <v>16.001999999999999</v>
      </c>
      <c r="E45" s="16">
        <f>B8</f>
        <v>5.4864000000000006</v>
      </c>
      <c r="F45" s="17">
        <f>F44-M44</f>
        <v>1.5533407322818595</v>
      </c>
      <c r="G45" s="17">
        <f>G44*(F45/F44)^1.7</f>
        <v>8.459521562729392E-3</v>
      </c>
      <c r="H45" s="17">
        <f>0.00001176*B22^2/(G45*E45^4)/14.5</f>
        <v>7.9306008911251086E-2</v>
      </c>
      <c r="I45" s="40">
        <f>4*B22/(B25*3.14*E45)</f>
        <v>10050648.939537825</v>
      </c>
      <c r="J45" s="40">
        <f>0.0791/I45^0.25</f>
        <v>1.4048435361348113E-3</v>
      </c>
      <c r="K45" s="16"/>
      <c r="L45" s="41">
        <f>D45*J45/(E45/4)</f>
        <v>1.6389841254906126E-2</v>
      </c>
      <c r="M45" s="17">
        <f>H45*L45</f>
        <v>1.2998128966155759E-3</v>
      </c>
      <c r="N45" s="44">
        <f>M45</f>
        <v>1.2998128966155759E-3</v>
      </c>
    </row>
    <row r="46" spans="1:15" x14ac:dyDescent="0.25">
      <c r="A46" s="35" t="s">
        <v>70</v>
      </c>
      <c r="B46" s="13">
        <v>1</v>
      </c>
      <c r="C46" s="13"/>
      <c r="D46" s="13"/>
      <c r="E46" s="13">
        <f>B8</f>
        <v>5.4864000000000006</v>
      </c>
      <c r="F46" s="17">
        <f>F45-M45</f>
        <v>1.552040919385244</v>
      </c>
      <c r="G46" s="17">
        <f>G45*(F46/F45)^1.7</f>
        <v>8.4474911199738656E-3</v>
      </c>
      <c r="H46" s="17">
        <f>0.00001176*B22^2/(G46*E46^4)/14.5</f>
        <v>7.9418952078260788E-2</v>
      </c>
      <c r="I46" s="18"/>
      <c r="J46" s="13"/>
      <c r="K46" s="13"/>
      <c r="L46" s="41">
        <f>B46</f>
        <v>1</v>
      </c>
      <c r="M46" s="17">
        <f>H46*L46</f>
        <v>7.9418952078260788E-2</v>
      </c>
      <c r="N46" s="43"/>
    </row>
    <row r="47" spans="1:15" x14ac:dyDescent="0.25">
      <c r="A47" s="9" t="s">
        <v>71</v>
      </c>
      <c r="B47" s="6"/>
      <c r="C47" s="6"/>
      <c r="D47" s="6"/>
      <c r="E47" s="5"/>
      <c r="F47" s="7"/>
      <c r="G47" s="7"/>
      <c r="H47" s="7"/>
      <c r="I47" s="5"/>
      <c r="J47" s="6"/>
      <c r="K47" s="6"/>
      <c r="L47" s="9"/>
      <c r="M47" s="6"/>
      <c r="N47" s="4"/>
    </row>
    <row r="48" spans="1:15" x14ac:dyDescent="0.25">
      <c r="A48" s="36" t="s">
        <v>61</v>
      </c>
      <c r="B48" s="16"/>
      <c r="C48" s="16">
        <v>13.1</v>
      </c>
      <c r="D48" s="16">
        <f>2.54*C48</f>
        <v>33.274000000000001</v>
      </c>
      <c r="E48" s="16">
        <f>B8</f>
        <v>5.4864000000000006</v>
      </c>
      <c r="F48" s="17">
        <f>F46-M46</f>
        <v>1.4726219673069831</v>
      </c>
      <c r="G48" s="17">
        <f>G46*(F48/F46)^1.7</f>
        <v>7.7258723189436423E-3</v>
      </c>
      <c r="H48" s="17">
        <f>0.00001176*B22^2/(G48*E48^4)/14.5</f>
        <v>8.6836911709468778E-2</v>
      </c>
      <c r="I48" s="40">
        <f>4*B22/(B25*3.14*E48)</f>
        <v>10050648.939537825</v>
      </c>
      <c r="J48" s="40">
        <f>0.0791/I48^0.25</f>
        <v>1.4048435361348113E-3</v>
      </c>
      <c r="K48" s="16"/>
      <c r="L48" s="41">
        <f>D48*J48/(E48/4)</f>
        <v>3.408046356178894E-2</v>
      </c>
      <c r="M48" s="17">
        <f>H48*L48</f>
        <v>2.9594422053328341E-3</v>
      </c>
      <c r="N48" s="44">
        <f>M48</f>
        <v>2.9594422053328341E-3</v>
      </c>
    </row>
    <row r="49" spans="1:14" x14ac:dyDescent="0.25">
      <c r="A49" s="36" t="s">
        <v>69</v>
      </c>
      <c r="B49" s="16">
        <v>0.7</v>
      </c>
      <c r="C49" s="16"/>
      <c r="D49" s="16"/>
      <c r="E49" s="16">
        <f>B8</f>
        <v>5.4864000000000006</v>
      </c>
      <c r="F49" s="17">
        <f>F48-M48</f>
        <v>1.4696625251016504</v>
      </c>
      <c r="G49" s="17">
        <f>G48*(F49/F48)^1.7</f>
        <v>7.6994962909078483E-3</v>
      </c>
      <c r="H49" s="17">
        <f>0.00001176*B22^2/(G49*E49^4)/14.5</f>
        <v>8.7134387379467534E-2</v>
      </c>
      <c r="I49" s="15"/>
      <c r="J49" s="16"/>
      <c r="K49" s="16"/>
      <c r="L49" s="39">
        <f>B49</f>
        <v>0.7</v>
      </c>
      <c r="M49" s="17">
        <f>H49*L49</f>
        <v>6.0994071165627273E-2</v>
      </c>
      <c r="N49" s="43"/>
    </row>
    <row r="50" spans="1:14" x14ac:dyDescent="0.25">
      <c r="A50" s="36" t="s">
        <v>61</v>
      </c>
      <c r="B50" s="16"/>
      <c r="C50" s="16">
        <v>22.25</v>
      </c>
      <c r="D50" s="16">
        <f>2.54*C50</f>
        <v>56.515000000000001</v>
      </c>
      <c r="E50" s="16">
        <f>B8</f>
        <v>5.4864000000000006</v>
      </c>
      <c r="F50" s="17">
        <f>F49-M49</f>
        <v>1.408668453936023</v>
      </c>
      <c r="G50" s="17">
        <f>G49*(F50/F49)^1.7</f>
        <v>7.1641933955566726E-3</v>
      </c>
      <c r="H50" s="17">
        <f>0.00001176*B22^2/(G50*E50^4)/14.5</f>
        <v>9.3645000266859527E-2</v>
      </c>
      <c r="I50" s="40">
        <f>4*B22/(B25*3.14*E50)</f>
        <v>10050648.939537825</v>
      </c>
      <c r="J50" s="40">
        <f>0.0791/I50^0.25</f>
        <v>1.4048435361348113E-3</v>
      </c>
      <c r="K50" s="16"/>
      <c r="L50" s="41">
        <f>D50*J50/(E50/4)</f>
        <v>5.7884756812962124E-2</v>
      </c>
      <c r="M50" s="17">
        <f>H50*L50</f>
        <v>5.4206180671969367E-3</v>
      </c>
      <c r="N50" s="44">
        <f>M50</f>
        <v>5.4206180671969367E-3</v>
      </c>
    </row>
    <row r="51" spans="1:14" x14ac:dyDescent="0.25">
      <c r="A51" s="35" t="s">
        <v>72</v>
      </c>
      <c r="B51" s="13">
        <f>(1/K51-1)^2</f>
        <v>1.6329351544315358</v>
      </c>
      <c r="C51" s="13"/>
      <c r="D51" s="13"/>
      <c r="E51" s="13">
        <f>B8</f>
        <v>5.4864000000000006</v>
      </c>
      <c r="F51" s="17">
        <f>F50-M50</f>
        <v>1.4032478358688261</v>
      </c>
      <c r="G51" s="17">
        <f>G50*(F51/F50)^1.7</f>
        <v>7.1173907171679339E-3</v>
      </c>
      <c r="H51" s="17">
        <f>0.00001176*B22^2/(G51*E51^4)/14.5</f>
        <v>9.4260792908344201E-2</v>
      </c>
      <c r="I51" s="18"/>
      <c r="J51" s="18"/>
      <c r="K51" s="18">
        <f>E51^2/E54^2</f>
        <v>0.43900786631036176</v>
      </c>
      <c r="L51" s="38">
        <f>B51</f>
        <v>1.6329351544315358</v>
      </c>
      <c r="M51" s="17">
        <f>H51*L51</f>
        <v>0.15392176242462605</v>
      </c>
      <c r="N51" s="43"/>
    </row>
    <row r="52" spans="1:14" x14ac:dyDescent="0.25">
      <c r="A52" s="8" t="s">
        <v>73</v>
      </c>
      <c r="B52" s="9"/>
      <c r="C52" s="9"/>
      <c r="D52" s="30"/>
      <c r="E52" s="9"/>
      <c r="F52" s="7"/>
      <c r="G52" s="7"/>
      <c r="H52" s="26"/>
      <c r="I52" s="9"/>
      <c r="J52" s="9"/>
      <c r="K52" s="9"/>
      <c r="L52" s="9"/>
      <c r="M52" s="6"/>
      <c r="N52" s="4"/>
    </row>
    <row r="53" spans="1:14" x14ac:dyDescent="0.25">
      <c r="A53" s="36" t="s">
        <v>74</v>
      </c>
      <c r="B53" s="16">
        <f>2.7*(1-K53)*(1-K53^2)/K53^2</f>
        <v>0.16308202903313376</v>
      </c>
      <c r="C53" s="16"/>
      <c r="D53" s="39"/>
      <c r="E53" s="15">
        <v>7.62</v>
      </c>
      <c r="F53" s="29">
        <f>F51-M51</f>
        <v>1.2493260734442</v>
      </c>
      <c r="G53" s="17">
        <f>G51*(F53/F51)^1.7</f>
        <v>5.8417265803586693E-3</v>
      </c>
      <c r="H53" s="17">
        <f>0.00001176*B22^2/(G53*E53^4)/14.5</f>
        <v>3.0863178868606296E-2</v>
      </c>
      <c r="I53" s="36"/>
      <c r="J53" s="36"/>
      <c r="K53" s="36">
        <f>(E53/E54)^2</f>
        <v>0.84685159396288912</v>
      </c>
      <c r="L53" s="39">
        <f>B53</f>
        <v>0.16308202903313376</v>
      </c>
      <c r="M53" s="17">
        <f>H53*L53</f>
        <v>5.0332298323048528E-3</v>
      </c>
      <c r="N53" s="43"/>
    </row>
    <row r="54" spans="1:14" x14ac:dyDescent="0.25">
      <c r="A54" s="36" t="s">
        <v>57</v>
      </c>
      <c r="B54" s="16"/>
      <c r="C54" s="16">
        <v>72</v>
      </c>
      <c r="D54" s="16">
        <f>2.54*C54</f>
        <v>182.88</v>
      </c>
      <c r="E54" s="16">
        <f>B14</f>
        <v>8.2804000000000002</v>
      </c>
      <c r="F54" s="17">
        <f>F53-M53</f>
        <v>1.2442928436118952</v>
      </c>
      <c r="G54" s="17">
        <f>G53*(F54/F53)^1.7</f>
        <v>5.8017737047669892E-3</v>
      </c>
      <c r="H54" s="17">
        <f>0.00001176*B22^2/(G54*E54^4)/14.5</f>
        <v>2.2286184172566288E-2</v>
      </c>
      <c r="I54" s="40">
        <f>4*B22/(B25*3.14*E54)</f>
        <v>6659325.6777305854</v>
      </c>
      <c r="J54" s="40">
        <f>0.0791/I54^0.25</f>
        <v>1.5571086589921599E-3</v>
      </c>
      <c r="K54" s="16"/>
      <c r="L54" s="41">
        <f>D54*J54/(E54/4)</f>
        <v>0.1375605195674055</v>
      </c>
      <c r="M54" s="17">
        <f>H54*L54</f>
        <v>3.0656990739531078E-3</v>
      </c>
      <c r="N54" s="44">
        <f>M54</f>
        <v>3.0656990739531078E-3</v>
      </c>
    </row>
    <row r="55" spans="1:14" x14ac:dyDescent="0.25">
      <c r="A55" s="35" t="s">
        <v>75</v>
      </c>
      <c r="B55" s="13">
        <f>(1/K55-1)^2</f>
        <v>0.50068580738662594</v>
      </c>
      <c r="C55" s="13"/>
      <c r="D55" s="38"/>
      <c r="E55" s="13">
        <f>E54</f>
        <v>8.2804000000000002</v>
      </c>
      <c r="F55" s="29">
        <f>F54-M54</f>
        <v>1.2412271445379421</v>
      </c>
      <c r="G55" s="17">
        <f>G54*(F55/F54)^1.7</f>
        <v>5.7774940858659092E-3</v>
      </c>
      <c r="H55" s="17">
        <f>0.00001176*B22^2/(G55*E55^4)/14.5</f>
        <v>2.2379840704347585E-2</v>
      </c>
      <c r="I55" s="35"/>
      <c r="J55" s="35"/>
      <c r="K55" s="35">
        <f>(E55/E57)^2</f>
        <v>0.58562013709801852</v>
      </c>
      <c r="L55" s="38">
        <f>B55</f>
        <v>0.50068580738662594</v>
      </c>
      <c r="M55" s="17">
        <f>H55*L55</f>
        <v>1.1205268612240346E-2</v>
      </c>
      <c r="N55" s="43"/>
    </row>
    <row r="56" spans="1:14" x14ac:dyDescent="0.25">
      <c r="A56" s="8" t="s">
        <v>76</v>
      </c>
      <c r="B56" s="6"/>
      <c r="C56" s="6"/>
      <c r="D56" s="30"/>
      <c r="E56" s="9"/>
      <c r="F56" s="7"/>
      <c r="G56" s="7"/>
      <c r="H56" s="9"/>
      <c r="I56" s="9"/>
      <c r="J56" s="9"/>
      <c r="K56" s="9"/>
      <c r="L56" s="9"/>
      <c r="M56" s="6"/>
      <c r="N56" s="4"/>
    </row>
    <row r="57" spans="1:14" x14ac:dyDescent="0.25">
      <c r="A57" s="36" t="s">
        <v>57</v>
      </c>
      <c r="B57" s="16"/>
      <c r="C57" s="16">
        <v>216</v>
      </c>
      <c r="D57" s="16">
        <f>2.54*C57</f>
        <v>548.64</v>
      </c>
      <c r="E57" s="16">
        <f>B17</f>
        <v>10.820399999999999</v>
      </c>
      <c r="F57" s="17">
        <f>F55-M55</f>
        <v>1.2300218759257018</v>
      </c>
      <c r="G57" s="17">
        <f>G55*(F57/F55)^1.7</f>
        <v>5.689108020599379E-3</v>
      </c>
      <c r="H57" s="17">
        <f>0.00001176*B22^2/(G57*E57^4)/14.5</f>
        <v>7.7944293432724056E-3</v>
      </c>
      <c r="I57" s="40">
        <f>4*B22/(B25*3.14*E57)</f>
        <v>5096103.6876529828</v>
      </c>
      <c r="J57" s="40">
        <f>0.0791/I57^0.25</f>
        <v>1.6648186008341782E-3</v>
      </c>
      <c r="K57" s="36"/>
      <c r="L57" s="41">
        <f>D57*J57/(E57/4)</f>
        <v>0.3376533500283404</v>
      </c>
      <c r="M57" s="17">
        <f t="shared" ref="M57:M62" si="5">H57*L57</f>
        <v>2.6318151793151248E-3</v>
      </c>
      <c r="N57" s="44">
        <f>M57</f>
        <v>2.6318151793151248E-3</v>
      </c>
    </row>
    <row r="58" spans="1:14" x14ac:dyDescent="0.25">
      <c r="A58" s="36" t="s">
        <v>77</v>
      </c>
      <c r="B58" s="16">
        <v>0.7</v>
      </c>
      <c r="C58" s="16"/>
      <c r="D58" s="39"/>
      <c r="E58" s="16">
        <f>E57</f>
        <v>10.820399999999999</v>
      </c>
      <c r="F58" s="17">
        <f>F57-M57</f>
        <v>1.2273900607463866</v>
      </c>
      <c r="G58" s="17">
        <f>G57*(F58/F57)^1.7</f>
        <v>5.6684299397739002E-3</v>
      </c>
      <c r="H58" s="17">
        <f>0.00001176*B22^2/(G58*E58^4)/14.5</f>
        <v>7.8228629380528159E-3</v>
      </c>
      <c r="I58" s="36"/>
      <c r="J58" s="36"/>
      <c r="K58" s="36"/>
      <c r="L58" s="39">
        <f>B58</f>
        <v>0.7</v>
      </c>
      <c r="M58" s="17">
        <f t="shared" si="5"/>
        <v>5.4760040566369707E-3</v>
      </c>
      <c r="N58" s="43"/>
    </row>
    <row r="59" spans="1:14" x14ac:dyDescent="0.25">
      <c r="A59" s="36" t="s">
        <v>77</v>
      </c>
      <c r="B59" s="16">
        <v>0.7</v>
      </c>
      <c r="C59" s="16"/>
      <c r="D59" s="39"/>
      <c r="E59" s="16">
        <f>E58</f>
        <v>10.820399999999999</v>
      </c>
      <c r="F59" s="17">
        <f>F58-M58</f>
        <v>1.2219140566897495</v>
      </c>
      <c r="G59" s="17">
        <f>G58*(F59/F58)^1.7</f>
        <v>5.6255045874854812E-3</v>
      </c>
      <c r="H59" s="17">
        <f>0.00001176*B22^2/(G59*E59^4)/14.5</f>
        <v>7.8825552096166776E-3</v>
      </c>
      <c r="I59" s="36"/>
      <c r="J59" s="36"/>
      <c r="K59" s="36"/>
      <c r="L59" s="39">
        <f>B59</f>
        <v>0.7</v>
      </c>
      <c r="M59" s="17">
        <f t="shared" si="5"/>
        <v>5.5177886467316743E-3</v>
      </c>
      <c r="N59" s="43"/>
    </row>
    <row r="60" spans="1:14" x14ac:dyDescent="0.25">
      <c r="A60" s="36" t="s">
        <v>77</v>
      </c>
      <c r="B60" s="16">
        <v>0.7</v>
      </c>
      <c r="C60" s="16"/>
      <c r="D60" s="39"/>
      <c r="E60" s="16">
        <f>E59</f>
        <v>10.820399999999999</v>
      </c>
      <c r="F60" s="17">
        <f>F59-M59</f>
        <v>1.2163962680430178</v>
      </c>
      <c r="G60" s="17">
        <f>G59*(F60/F59)^1.7</f>
        <v>5.582387685176023E-3</v>
      </c>
      <c r="H60" s="17">
        <f>0.00001176*B22^2/(G60*E60^4)/14.5</f>
        <v>7.9434380042359906E-3</v>
      </c>
      <c r="I60" s="36"/>
      <c r="J60" s="36"/>
      <c r="K60" s="36"/>
      <c r="L60" s="39">
        <f>B60</f>
        <v>0.7</v>
      </c>
      <c r="M60" s="17">
        <f t="shared" si="5"/>
        <v>5.5604066029651929E-3</v>
      </c>
      <c r="N60" s="43"/>
    </row>
    <row r="61" spans="1:14" x14ac:dyDescent="0.25">
      <c r="A61" s="36" t="s">
        <v>77</v>
      </c>
      <c r="B61" s="16">
        <v>0.7</v>
      </c>
      <c r="C61" s="16"/>
      <c r="D61" s="39"/>
      <c r="E61" s="16">
        <f>E60</f>
        <v>10.820399999999999</v>
      </c>
      <c r="F61" s="17">
        <f>F60-M60</f>
        <v>1.2108358614400527</v>
      </c>
      <c r="G61" s="17">
        <f>G60*(F61/F60)^1.7</f>
        <v>5.5390760407228474E-3</v>
      </c>
      <c r="H61" s="17">
        <f>0.00001176*B22^2/(G61*E61^4)/14.5</f>
        <v>8.0055500532575131E-3</v>
      </c>
      <c r="I61" s="36"/>
      <c r="J61" s="36"/>
      <c r="K61" s="36"/>
      <c r="L61" s="39">
        <f>B61</f>
        <v>0.7</v>
      </c>
      <c r="M61" s="17">
        <f t="shared" si="5"/>
        <v>5.603885037280259E-3</v>
      </c>
      <c r="N61" s="43"/>
    </row>
    <row r="62" spans="1:14" x14ac:dyDescent="0.25">
      <c r="A62" s="36" t="s">
        <v>78</v>
      </c>
      <c r="B62" s="13">
        <f>(1/K62-1)^2</f>
        <v>1.505088714202192</v>
      </c>
      <c r="C62" s="13"/>
      <c r="D62" s="38"/>
      <c r="E62" s="13">
        <f>E61</f>
        <v>10.820399999999999</v>
      </c>
      <c r="F62" s="17">
        <f>F61-M61</f>
        <v>1.2052319764027726</v>
      </c>
      <c r="G62" s="17">
        <f>G61*(F62/F61)^1.7</f>
        <v>5.4955663690134339E-3</v>
      </c>
      <c r="H62" s="17">
        <f>0.00001176*B22^2/(G62*E62^4)/14.5</f>
        <v>8.0689318471040012E-3</v>
      </c>
      <c r="I62" s="35"/>
      <c r="J62" s="35"/>
      <c r="K62" s="35">
        <f>(E62/E64)^2</f>
        <v>0.44907075715102412</v>
      </c>
      <c r="L62" s="38">
        <f>B62</f>
        <v>1.505088714202192</v>
      </c>
      <c r="M62" s="17">
        <f t="shared" si="5"/>
        <v>1.214445825874288E-2</v>
      </c>
      <c r="N62" s="43"/>
    </row>
    <row r="63" spans="1:14" x14ac:dyDescent="0.25">
      <c r="A63" s="8" t="s">
        <v>79</v>
      </c>
      <c r="B63" s="6"/>
      <c r="C63" s="6"/>
      <c r="D63" s="30"/>
      <c r="E63" s="9"/>
      <c r="F63" s="7"/>
      <c r="G63" s="7"/>
      <c r="H63" s="9"/>
      <c r="I63" s="9"/>
      <c r="J63" s="9"/>
      <c r="K63" s="9"/>
      <c r="L63" s="9"/>
      <c r="M63" s="6"/>
      <c r="N63" s="4"/>
    </row>
    <row r="64" spans="1:14" x14ac:dyDescent="0.25">
      <c r="A64" s="34" t="s">
        <v>57</v>
      </c>
      <c r="B64" s="16"/>
      <c r="C64" s="16">
        <v>96</v>
      </c>
      <c r="D64" s="16">
        <f>2.54*C64</f>
        <v>243.84</v>
      </c>
      <c r="E64" s="16">
        <f>B20</f>
        <v>16.14678</v>
      </c>
      <c r="F64" s="17">
        <f>F62-M62</f>
        <v>1.1930875181440297</v>
      </c>
      <c r="G64" s="17">
        <f>G62*(F64/F62)^1.7</f>
        <v>5.4017598614971886E-3</v>
      </c>
      <c r="H64" s="17">
        <f>0.00001176*B22^2/(G64*E64^4)/14.5</f>
        <v>1.655475590735464E-3</v>
      </c>
      <c r="I64" s="40">
        <f>4*B22/(B25*3.14*E64)</f>
        <v>3415038.8090926073</v>
      </c>
      <c r="J64" s="40">
        <f>0.0791/I64^0.25</f>
        <v>1.8400413072612312E-3</v>
      </c>
      <c r="K64" s="36"/>
      <c r="L64" s="41">
        <f>D64*J64/(E64/4)</f>
        <v>0.11114926254338725</v>
      </c>
      <c r="M64" s="17">
        <f>H64*L64</f>
        <v>1.8400489106882518E-4</v>
      </c>
      <c r="N64" s="44">
        <f>M64</f>
        <v>1.8400489106882518E-4</v>
      </c>
    </row>
    <row r="65" spans="1:14" x14ac:dyDescent="0.25">
      <c r="A65" s="35" t="s">
        <v>80</v>
      </c>
      <c r="B65" s="13">
        <v>1</v>
      </c>
      <c r="C65" s="13"/>
      <c r="D65" s="38"/>
      <c r="E65" s="13">
        <f>B20</f>
        <v>16.14678</v>
      </c>
      <c r="F65" s="14">
        <f>F64-M64</f>
        <v>1.1929035132529608</v>
      </c>
      <c r="G65" s="14">
        <f>G64*(F65/F64)^1.7</f>
        <v>5.4003436835865044E-3</v>
      </c>
      <c r="H65" s="14">
        <f>0.00001176*B22^2/(G65*E65^4)/14.5</f>
        <v>1.6559097201354876E-3</v>
      </c>
      <c r="I65" s="35"/>
      <c r="J65" s="35"/>
      <c r="K65" s="35"/>
      <c r="L65" s="38">
        <f>B65</f>
        <v>1</v>
      </c>
      <c r="M65" s="14">
        <f>H65*L65</f>
        <v>1.6559097201354876E-3</v>
      </c>
      <c r="N65" s="31"/>
    </row>
    <row r="66" spans="1:14" x14ac:dyDescent="0.25">
      <c r="A66" s="19"/>
      <c r="B66" s="19"/>
      <c r="C66" s="19"/>
      <c r="D66" s="19"/>
      <c r="E66" s="19"/>
      <c r="F66" s="1"/>
      <c r="G66" s="1"/>
      <c r="H66" s="19"/>
      <c r="I66" s="19"/>
      <c r="J66" s="19"/>
      <c r="K66" s="19"/>
      <c r="L66" s="19"/>
      <c r="M66" s="1"/>
    </row>
    <row r="67" spans="1:14" x14ac:dyDescent="0.25">
      <c r="A67" s="51" t="s">
        <v>40</v>
      </c>
      <c r="B67" s="51">
        <f>SUM(B28:B65)</f>
        <v>15.893678195917682</v>
      </c>
      <c r="C67" s="51"/>
      <c r="D67" s="19"/>
      <c r="E67" s="19"/>
      <c r="F67" s="50">
        <f>F65-M65</f>
        <v>1.1912476035328254</v>
      </c>
      <c r="G67" s="1"/>
      <c r="H67" s="19"/>
      <c r="I67" s="19"/>
      <c r="J67" s="19"/>
      <c r="K67" s="19"/>
      <c r="L67" s="19"/>
      <c r="M67" s="49">
        <f>SUM(M28:M65)</f>
        <v>0.80875239646717478</v>
      </c>
      <c r="N67" s="2">
        <f>SUM(N29:N65)</f>
        <v>5.1667806654463889E-2</v>
      </c>
    </row>
    <row r="68" spans="1:14" x14ac:dyDescent="0.25">
      <c r="N68" s="45">
        <f>N67/M67</f>
        <v>6.3885815832090645E-2</v>
      </c>
    </row>
    <row r="69" spans="1:14" x14ac:dyDescent="0.25">
      <c r="G69" t="s">
        <v>5</v>
      </c>
    </row>
    <row r="71" spans="1:14" x14ac:dyDescent="0.25">
      <c r="F71" s="2">
        <f>F29-F67</f>
        <v>0.80875239646717456</v>
      </c>
      <c r="G71" t="s">
        <v>88</v>
      </c>
    </row>
  </sheetData>
  <phoneticPr fontId="0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9"/>
  <sheetViews>
    <sheetView workbookViewId="0">
      <selection activeCell="D53" sqref="D53"/>
    </sheetView>
  </sheetViews>
  <sheetFormatPr defaultColWidth="8.77734375" defaultRowHeight="13.2" x14ac:dyDescent="0.25"/>
  <sheetData>
    <row r="3" spans="3:8" x14ac:dyDescent="0.25">
      <c r="C3" s="54" t="s">
        <v>13</v>
      </c>
      <c r="D3" s="54"/>
      <c r="E3" s="54"/>
      <c r="F3" s="54"/>
      <c r="G3">
        <v>785</v>
      </c>
      <c r="H3" t="s">
        <v>14</v>
      </c>
    </row>
    <row r="4" spans="3:8" x14ac:dyDescent="0.25">
      <c r="G4">
        <v>5064.5060000000003</v>
      </c>
      <c r="H4" t="s">
        <v>15</v>
      </c>
    </row>
    <row r="5" spans="3:8" x14ac:dyDescent="0.25">
      <c r="C5" s="54" t="s">
        <v>16</v>
      </c>
      <c r="D5" s="54"/>
      <c r="E5" s="54"/>
      <c r="G5">
        <v>2</v>
      </c>
      <c r="H5" t="s">
        <v>17</v>
      </c>
    </row>
    <row r="7" spans="3:8" x14ac:dyDescent="0.25">
      <c r="C7" t="s">
        <v>12</v>
      </c>
      <c r="E7" t="s">
        <v>6</v>
      </c>
      <c r="F7" t="s">
        <v>7</v>
      </c>
      <c r="G7" t="s">
        <v>8</v>
      </c>
    </row>
    <row r="8" spans="3:8" x14ac:dyDescent="0.25">
      <c r="C8" t="s">
        <v>35</v>
      </c>
      <c r="E8" t="s">
        <v>9</v>
      </c>
      <c r="F8" t="s">
        <v>10</v>
      </c>
      <c r="G8" t="s">
        <v>11</v>
      </c>
    </row>
    <row r="9" spans="3:8" x14ac:dyDescent="0.25">
      <c r="C9">
        <v>2.2000000000000002</v>
      </c>
      <c r="E9" s="1">
        <v>13</v>
      </c>
      <c r="F9" s="1">
        <f>G4*G5</f>
        <v>10129.012000000001</v>
      </c>
      <c r="G9" s="1">
        <f>F9/E9</f>
        <v>779.15476923076926</v>
      </c>
    </row>
  </sheetData>
  <mergeCells count="2">
    <mergeCell ref="C3:F3"/>
    <mergeCell ref="C5:E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Del-P</vt:lpstr>
      <vt:lpstr>Flow</vt:lpstr>
      <vt:lpstr>Sheet3</vt:lpstr>
    </vt:vector>
  </TitlesOfParts>
  <Manager/>
  <Company>Fermilab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HTS vessel relief calc's</dc:title>
  <dc:subject/>
  <dc:creator>Tom Peterson</dc:creator>
  <cp:keywords/>
  <dc:description/>
  <cp:lastModifiedBy>Irina Novitski x2831,3896 13429N</cp:lastModifiedBy>
  <dcterms:created xsi:type="dcterms:W3CDTF">2008-01-10T17:23:34Z</dcterms:created>
  <dcterms:modified xsi:type="dcterms:W3CDTF">2019-06-24T19:59:29Z</dcterms:modified>
  <cp:category/>
</cp:coreProperties>
</file>