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730"/>
  <workbookPr date1904="1"/>
  <mc:AlternateContent xmlns:mc="http://schemas.openxmlformats.org/markup-compatibility/2006">
    <mc:Choice Requires="x15">
      <x15ac:absPath xmlns:x15ac="http://schemas.microsoft.com/office/spreadsheetml/2010/11/ac" url="W:\htdocs\materials\19NewMexico\Cryo\"/>
    </mc:Choice>
  </mc:AlternateContent>
  <xr:revisionPtr revIDLastSave="0" documentId="8_{BA27633A-01F0-472A-BE03-3EBBA43B940B}" xr6:coauthVersionLast="36" xr6:coauthVersionMax="36" xr10:uidLastSave="{00000000-0000-0000-0000-000000000000}"/>
  <bookViews>
    <workbookView xWindow="32772" yWindow="32772" windowWidth="18492" windowHeight="7668" tabRatio="500"/>
  </bookViews>
  <sheets>
    <sheet name="Sheet1" sheetId="1" r:id="rId1"/>
    <sheet name="Sheet2" sheetId="2" r:id="rId2"/>
    <sheet name="Sheet3" sheetId="3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14" i="1" l="1"/>
  <c r="M41" i="1"/>
  <c r="L13" i="1"/>
  <c r="M13" i="1"/>
  <c r="M23" i="1"/>
  <c r="G23" i="1"/>
  <c r="H23" i="1"/>
  <c r="D23" i="1"/>
  <c r="H25" i="1"/>
  <c r="M25" i="1"/>
  <c r="M30" i="1"/>
  <c r="M31" i="1"/>
  <c r="M33" i="1"/>
  <c r="M14" i="1"/>
  <c r="L12" i="1"/>
  <c r="M12" i="1"/>
  <c r="M21" i="1"/>
  <c r="M36" i="1"/>
  <c r="L32" i="1"/>
  <c r="M32" i="1"/>
  <c r="M11" i="1"/>
  <c r="M27" i="1"/>
  <c r="M10" i="1"/>
  <c r="M9" i="1"/>
  <c r="K41" i="1"/>
  <c r="J11" i="1"/>
  <c r="J13" i="1"/>
  <c r="K13" i="1"/>
  <c r="K23" i="1"/>
  <c r="E23" i="1"/>
  <c r="F23" i="1"/>
  <c r="F25" i="1"/>
  <c r="K25" i="1"/>
  <c r="K30" i="1"/>
  <c r="K31" i="1"/>
  <c r="K33" i="1"/>
  <c r="K14" i="1"/>
  <c r="J12" i="1"/>
  <c r="K12" i="1"/>
  <c r="K21" i="1"/>
  <c r="K36" i="1"/>
  <c r="J32" i="1"/>
  <c r="K32" i="1"/>
  <c r="K11" i="1"/>
  <c r="K27" i="1"/>
  <c r="K10" i="1"/>
  <c r="K9" i="1"/>
  <c r="D30" i="1"/>
  <c r="D31" i="1"/>
  <c r="D33" i="1"/>
  <c r="C46" i="1"/>
  <c r="G11" i="1"/>
  <c r="G13" i="1"/>
  <c r="H13" i="1"/>
  <c r="H30" i="1"/>
  <c r="H31" i="1"/>
  <c r="H33" i="1"/>
  <c r="H14" i="1"/>
  <c r="G12" i="1"/>
  <c r="H12" i="1"/>
  <c r="H18" i="1"/>
  <c r="H21" i="1"/>
  <c r="H36" i="1"/>
  <c r="E13" i="1"/>
  <c r="F13" i="1"/>
  <c r="F30" i="1"/>
  <c r="F31" i="1"/>
  <c r="F33" i="1"/>
  <c r="F14" i="1"/>
  <c r="E12" i="1"/>
  <c r="F12" i="1"/>
  <c r="F18" i="1"/>
  <c r="F21" i="1"/>
  <c r="F36" i="1"/>
  <c r="C13" i="1"/>
  <c r="D13" i="1"/>
  <c r="H11" i="1"/>
  <c r="H27" i="1"/>
  <c r="F11" i="1"/>
  <c r="F27" i="1"/>
  <c r="G32" i="1"/>
  <c r="H32" i="1"/>
  <c r="E32" i="1"/>
  <c r="F32" i="1"/>
  <c r="C32" i="1"/>
  <c r="D32" i="1"/>
  <c r="H41" i="1"/>
  <c r="H10" i="1"/>
  <c r="H9" i="1"/>
  <c r="F41" i="1"/>
  <c r="F10" i="1"/>
  <c r="F9" i="1"/>
  <c r="D18" i="1"/>
  <c r="D21" i="1"/>
  <c r="D14" i="1"/>
  <c r="C12" i="1"/>
  <c r="D12" i="1"/>
  <c r="D41" i="1"/>
  <c r="D10" i="1"/>
  <c r="D11" i="1"/>
  <c r="D9" i="1"/>
  <c r="D36" i="1"/>
  <c r="D27" i="1"/>
  <c r="D45" i="1"/>
  <c r="C45" i="1"/>
</calcChain>
</file>

<file path=xl/sharedStrings.xml><?xml version="1.0" encoding="utf-8"?>
<sst xmlns="http://schemas.openxmlformats.org/spreadsheetml/2006/main" count="49" uniqueCount="35">
  <si>
    <t xml:space="preserve">Simple long pipe pressure drop analysis </t>
  </si>
  <si>
    <t xml:space="preserve">Tom Peterson </t>
  </si>
  <si>
    <t xml:space="preserve">elbows </t>
  </si>
  <si>
    <t>expansions</t>
  </si>
  <si>
    <t>contractions</t>
  </si>
  <si>
    <t>tees</t>
  </si>
  <si>
    <t>outer dia (in)</t>
  </si>
  <si>
    <t>wall (in)</t>
  </si>
  <si>
    <t>inner dia (in)</t>
  </si>
  <si>
    <t>length (ft)</t>
  </si>
  <si>
    <t>hydraulic radius (in)</t>
  </si>
  <si>
    <t>average pressure (psi)</t>
  </si>
  <si>
    <t>inlet temperature (K)</t>
  </si>
  <si>
    <t>inlet density (g/cc)</t>
  </si>
  <si>
    <t>inlet viscosity (g/cm-s)</t>
  </si>
  <si>
    <t xml:space="preserve"> g-cm-sec</t>
  </si>
  <si>
    <t>all units in</t>
  </si>
  <si>
    <t>section 2</t>
  </si>
  <si>
    <t>section 1</t>
  </si>
  <si>
    <t>section 3</t>
  </si>
  <si>
    <t>inlet pressure (psia)</t>
  </si>
  <si>
    <t>exit pressure (psia)</t>
  </si>
  <si>
    <t>flow area (sq.in.)</t>
  </si>
  <si>
    <t>Reynolds number</t>
  </si>
  <si>
    <t>friction factor</t>
  </si>
  <si>
    <t>mass flow (g/sec)</t>
  </si>
  <si>
    <t>If mass flow given:</t>
  </si>
  <si>
    <t>average density (g/cc)</t>
  </si>
  <si>
    <t>If exit pressure given:</t>
  </si>
  <si>
    <t>SUM Ev factors</t>
  </si>
  <si>
    <t>exit density (g/cc)</t>
  </si>
  <si>
    <t>Check delta-P (psid)</t>
  </si>
  <si>
    <t>Formula verified correct, 23 Dec 2008, see Flow-BufferTanks.doc</t>
  </si>
  <si>
    <t>section 4</t>
  </si>
  <si>
    <t>section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</si>
</sst>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0.000"/>
  </numFmts>
  <fonts count="2" x14ac:knownFonts="1">
    <font>
      <sz val="10"/>
      <name val="Verdana"/>
      <family val="2"/>
    </font>
    <font>
      <sz val="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5" fontId="0" fillId="0" borderId="0" xfId="0" applyNumberFormat="1"/>
    <xf numFmtId="2" fontId="0" fillId="0" borderId="0" xfId="0" applyNumberFormat="1"/>
    <xf numFmtId="164" fontId="0" fillId="0" borderId="0" xfId="0" applyNumberFormat="1"/>
    <xf numFmtId="11" fontId="0" fillId="0" borderId="0" xfId="0" applyNumberFormat="1"/>
    <xf numFmtId="165" fontId="0" fillId="0" borderId="0" xfId="0" applyNumberFormat="1"/>
    <xf numFmtId="2" fontId="0" fillId="2" borderId="0" xfId="0" applyNumberFormat="1" applyFill="1"/>
    <xf numFmtId="2" fontId="0" fillId="3" borderId="0" xfId="0" applyNumberFormat="1" applyFill="1"/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46"/>
  <sheetViews>
    <sheetView tabSelected="1" topLeftCell="A4" zoomScaleNormal="100" workbookViewId="0">
      <selection activeCell="B2" sqref="B2"/>
    </sheetView>
  </sheetViews>
  <sheetFormatPr defaultColWidth="10.90625" defaultRowHeight="12.6" x14ac:dyDescent="0.2"/>
  <cols>
    <col min="1" max="1" width="5" customWidth="1"/>
    <col min="2" max="2" width="22.1796875" customWidth="1"/>
    <col min="3" max="3" width="10.90625" customWidth="1"/>
    <col min="4" max="4" width="12.7265625" bestFit="1" customWidth="1"/>
    <col min="5" max="5" width="10.90625" customWidth="1"/>
    <col min="6" max="6" width="11.54296875" bestFit="1" customWidth="1"/>
    <col min="7" max="7" width="10.90625" customWidth="1"/>
    <col min="8" max="8" width="11.54296875" bestFit="1" customWidth="1"/>
    <col min="9" max="9" width="4.26953125" customWidth="1"/>
    <col min="10" max="13" width="0" hidden="1" customWidth="1"/>
  </cols>
  <sheetData>
    <row r="2" spans="2:13" x14ac:dyDescent="0.2">
      <c r="B2" t="s">
        <v>0</v>
      </c>
    </row>
    <row r="3" spans="2:13" x14ac:dyDescent="0.2">
      <c r="B3" t="s">
        <v>1</v>
      </c>
    </row>
    <row r="4" spans="2:13" x14ac:dyDescent="0.2">
      <c r="B4" s="1">
        <v>38343</v>
      </c>
    </row>
    <row r="5" spans="2:13" x14ac:dyDescent="0.2">
      <c r="B5" s="1"/>
    </row>
    <row r="6" spans="2:13" x14ac:dyDescent="0.2">
      <c r="B6" s="1"/>
      <c r="C6" t="s">
        <v>18</v>
      </c>
      <c r="D6" t="s">
        <v>18</v>
      </c>
      <c r="E6" t="s">
        <v>17</v>
      </c>
      <c r="F6" t="s">
        <v>17</v>
      </c>
      <c r="G6" t="s">
        <v>19</v>
      </c>
      <c r="H6" t="s">
        <v>19</v>
      </c>
      <c r="J6" t="s">
        <v>33</v>
      </c>
      <c r="K6" t="s">
        <v>33</v>
      </c>
      <c r="L6" t="s">
        <v>34</v>
      </c>
      <c r="M6" t="s">
        <v>34</v>
      </c>
    </row>
    <row r="7" spans="2:13" x14ac:dyDescent="0.2">
      <c r="D7" t="s">
        <v>16</v>
      </c>
      <c r="F7" t="s">
        <v>16</v>
      </c>
      <c r="H7" t="s">
        <v>16</v>
      </c>
      <c r="K7" t="s">
        <v>16</v>
      </c>
      <c r="M7" t="s">
        <v>16</v>
      </c>
    </row>
    <row r="8" spans="2:13" x14ac:dyDescent="0.2">
      <c r="D8" t="s">
        <v>15</v>
      </c>
      <c r="F8" t="s">
        <v>15</v>
      </c>
      <c r="H8" t="s">
        <v>15</v>
      </c>
      <c r="K8" t="s">
        <v>15</v>
      </c>
      <c r="M8" t="s">
        <v>15</v>
      </c>
    </row>
    <row r="9" spans="2:13" x14ac:dyDescent="0.2">
      <c r="B9" t="s">
        <v>6</v>
      </c>
      <c r="C9" s="2"/>
      <c r="D9" s="2">
        <f>C9*2.54</f>
        <v>0</v>
      </c>
      <c r="E9" s="2"/>
      <c r="F9" s="2">
        <f>E9*2.54</f>
        <v>0</v>
      </c>
      <c r="G9" s="2">
        <v>0.5</v>
      </c>
      <c r="H9" s="2">
        <f>G9*2.54</f>
        <v>1.27</v>
      </c>
      <c r="I9" s="2"/>
      <c r="J9" s="2">
        <v>0.75</v>
      </c>
      <c r="K9" s="2">
        <f>J9*2.54</f>
        <v>1.905</v>
      </c>
      <c r="L9" s="2"/>
      <c r="M9" s="2">
        <f>L9*2.54</f>
        <v>0</v>
      </c>
    </row>
    <row r="10" spans="2:13" x14ac:dyDescent="0.2">
      <c r="B10" t="s">
        <v>7</v>
      </c>
      <c r="C10" s="2"/>
      <c r="D10" s="2">
        <f>C10*2.54</f>
        <v>0</v>
      </c>
      <c r="E10" s="2"/>
      <c r="F10" s="2">
        <f>E10*2.54</f>
        <v>0</v>
      </c>
      <c r="G10" s="5">
        <v>3.5000000000000003E-2</v>
      </c>
      <c r="H10" s="2">
        <f>G10*2.54</f>
        <v>8.8900000000000007E-2</v>
      </c>
      <c r="I10" s="2"/>
      <c r="J10" s="5">
        <v>3.5000000000000003E-2</v>
      </c>
      <c r="K10" s="2">
        <f>J10*2.54</f>
        <v>8.8900000000000007E-2</v>
      </c>
      <c r="L10" s="5"/>
      <c r="M10" s="2">
        <f>L10*2.54</f>
        <v>0</v>
      </c>
    </row>
    <row r="11" spans="2:13" x14ac:dyDescent="0.2">
      <c r="B11" t="s">
        <v>8</v>
      </c>
      <c r="C11" s="2">
        <v>0.995</v>
      </c>
      <c r="D11" s="2">
        <f>C11*2.54</f>
        <v>2.5272999999999999</v>
      </c>
      <c r="E11" s="2">
        <v>2.625</v>
      </c>
      <c r="F11" s="2">
        <f>E11*2.54</f>
        <v>6.6675000000000004</v>
      </c>
      <c r="G11" s="2">
        <f>G9-2*G10</f>
        <v>0.43</v>
      </c>
      <c r="H11" s="2">
        <f>G11*2.54</f>
        <v>1.0922000000000001</v>
      </c>
      <c r="I11" s="2"/>
      <c r="J11" s="2">
        <f>J9-2*J10</f>
        <v>0.67999999999999994</v>
      </c>
      <c r="K11" s="2">
        <f>J11*2.54</f>
        <v>1.7271999999999998</v>
      </c>
      <c r="L11" s="2">
        <v>0.75</v>
      </c>
      <c r="M11" s="2">
        <f>L11*2.54</f>
        <v>1.905</v>
      </c>
    </row>
    <row r="12" spans="2:13" x14ac:dyDescent="0.2">
      <c r="B12" t="s">
        <v>10</v>
      </c>
      <c r="C12" s="2">
        <f>C11/4</f>
        <v>0.24875</v>
      </c>
      <c r="D12" s="2">
        <f>C12*2.54</f>
        <v>0.63182499999999997</v>
      </c>
      <c r="E12" s="2">
        <f>E11/4</f>
        <v>0.65625</v>
      </c>
      <c r="F12" s="2">
        <f>E12*2.54</f>
        <v>1.6668750000000001</v>
      </c>
      <c r="G12" s="2">
        <f>G11/4</f>
        <v>0.1075</v>
      </c>
      <c r="H12" s="2">
        <f>G12*2.54</f>
        <v>0.27305000000000001</v>
      </c>
      <c r="I12" s="2"/>
      <c r="J12" s="2">
        <f>J11/4</f>
        <v>0.16999999999999998</v>
      </c>
      <c r="K12" s="2">
        <f>J12*2.54</f>
        <v>0.43179999999999996</v>
      </c>
      <c r="L12" s="2">
        <f>L11/4</f>
        <v>0.1875</v>
      </c>
      <c r="M12" s="2">
        <f>L12*2.54</f>
        <v>0.47625000000000001</v>
      </c>
    </row>
    <row r="13" spans="2:13" x14ac:dyDescent="0.2">
      <c r="B13" t="s">
        <v>22</v>
      </c>
      <c r="C13" s="2">
        <f>3.14*(C11^2)/4</f>
        <v>0.77716962500000009</v>
      </c>
      <c r="D13" s="2">
        <f>C13*2.54^2</f>
        <v>5.0139875526500006</v>
      </c>
      <c r="E13" s="2">
        <f>3.14*(E11^2)/4</f>
        <v>5.409140625</v>
      </c>
      <c r="F13" s="2">
        <f>E13*2.54^2</f>
        <v>34.89761165625</v>
      </c>
      <c r="G13" s="2">
        <f>3.14*(G11^2)/4</f>
        <v>0.14514649999999998</v>
      </c>
      <c r="H13" s="2">
        <f>G13*2.54^2</f>
        <v>0.93642715939999988</v>
      </c>
      <c r="I13" s="2"/>
      <c r="J13" s="2">
        <f>3.14*(J11^2)/4</f>
        <v>0.36298399999999997</v>
      </c>
      <c r="K13" s="2">
        <f>J13*2.54^2</f>
        <v>2.3418275743999999</v>
      </c>
      <c r="L13" s="2">
        <f>3.14*(L11^2)/4</f>
        <v>0.44156250000000002</v>
      </c>
      <c r="M13" s="2">
        <f>L13*2.54^2</f>
        <v>2.848784625</v>
      </c>
    </row>
    <row r="14" spans="2:13" x14ac:dyDescent="0.2">
      <c r="B14" t="s">
        <v>9</v>
      </c>
      <c r="C14" s="2">
        <v>60</v>
      </c>
      <c r="D14" s="2">
        <f>C14*12*2.54</f>
        <v>1828.8</v>
      </c>
      <c r="E14" s="2">
        <v>30</v>
      </c>
      <c r="F14" s="2">
        <f>E14*12*2.54</f>
        <v>914.4</v>
      </c>
      <c r="G14" s="2">
        <v>6</v>
      </c>
      <c r="H14" s="2">
        <f>G14*12*2.54</f>
        <v>182.88</v>
      </c>
      <c r="I14" s="2"/>
      <c r="J14" s="2">
        <v>7</v>
      </c>
      <c r="K14" s="2">
        <f>J14*12*2.54</f>
        <v>213.36</v>
      </c>
      <c r="L14" s="2">
        <f>2*4</f>
        <v>8</v>
      </c>
      <c r="M14" s="2">
        <f>L14*12*2.54</f>
        <v>243.84</v>
      </c>
    </row>
    <row r="15" spans="2:13" x14ac:dyDescent="0.2"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7" spans="2:13" x14ac:dyDescent="0.2">
      <c r="B17" t="s">
        <v>5</v>
      </c>
      <c r="D17">
        <v>0</v>
      </c>
      <c r="F17">
        <v>1</v>
      </c>
      <c r="H17">
        <v>0</v>
      </c>
      <c r="K17">
        <v>0</v>
      </c>
      <c r="M17">
        <v>0</v>
      </c>
    </row>
    <row r="18" spans="2:13" x14ac:dyDescent="0.2">
      <c r="B18" t="s">
        <v>2</v>
      </c>
      <c r="C18">
        <v>10</v>
      </c>
      <c r="D18">
        <f>1*C18</f>
        <v>10</v>
      </c>
      <c r="E18">
        <v>5</v>
      </c>
      <c r="F18">
        <f>1*E18</f>
        <v>5</v>
      </c>
      <c r="G18">
        <v>3</v>
      </c>
      <c r="H18">
        <f>1*G18</f>
        <v>3</v>
      </c>
      <c r="J18">
        <v>3</v>
      </c>
      <c r="K18">
        <v>2</v>
      </c>
      <c r="L18">
        <v>3</v>
      </c>
      <c r="M18">
        <v>2</v>
      </c>
    </row>
    <row r="19" spans="2:13" x14ac:dyDescent="0.2">
      <c r="B19" t="s">
        <v>3</v>
      </c>
      <c r="D19">
        <v>1</v>
      </c>
      <c r="F19">
        <v>0</v>
      </c>
      <c r="H19">
        <v>1</v>
      </c>
      <c r="K19">
        <v>1</v>
      </c>
      <c r="M19">
        <v>1</v>
      </c>
    </row>
    <row r="20" spans="2:13" x14ac:dyDescent="0.2">
      <c r="B20" t="s">
        <v>4</v>
      </c>
      <c r="D20">
        <v>0</v>
      </c>
      <c r="F20">
        <v>0</v>
      </c>
      <c r="H20">
        <v>1</v>
      </c>
      <c r="K20">
        <v>1</v>
      </c>
      <c r="M20">
        <v>1</v>
      </c>
    </row>
    <row r="21" spans="2:13" x14ac:dyDescent="0.2">
      <c r="B21" t="s">
        <v>29</v>
      </c>
      <c r="D21">
        <f>SUM(D17:D20)</f>
        <v>11</v>
      </c>
      <c r="F21">
        <f>SUM(F17:F20)</f>
        <v>6</v>
      </c>
      <c r="H21">
        <f>SUM(H17:H20)</f>
        <v>5</v>
      </c>
      <c r="K21">
        <f>SUM(K17:K20)</f>
        <v>4</v>
      </c>
      <c r="M21">
        <f>SUM(M17:M20)</f>
        <v>4</v>
      </c>
    </row>
    <row r="23" spans="2:13" x14ac:dyDescent="0.2">
      <c r="B23" t="s">
        <v>20</v>
      </c>
      <c r="C23" s="2">
        <v>300</v>
      </c>
      <c r="D23" s="2">
        <f>C23/0.000014505</f>
        <v>20682523.267838679</v>
      </c>
      <c r="E23" s="6">
        <f>C30</f>
        <v>285</v>
      </c>
      <c r="F23" s="2">
        <f>E23/0.000014505</f>
        <v>19648397.104446743</v>
      </c>
      <c r="G23" s="7">
        <f>E30</f>
        <v>284.87</v>
      </c>
      <c r="H23" s="2">
        <f>G23/0.000014505</f>
        <v>19639434.677697346</v>
      </c>
      <c r="I23" s="2"/>
      <c r="J23" s="2">
        <v>115</v>
      </c>
      <c r="K23" s="2">
        <f>J23/0.000014505</f>
        <v>7928300.5860048262</v>
      </c>
      <c r="L23" s="2">
        <v>100</v>
      </c>
      <c r="M23" s="2">
        <f>L23/0.000014505</f>
        <v>6894174.4226128925</v>
      </c>
    </row>
    <row r="24" spans="2:13" x14ac:dyDescent="0.2">
      <c r="B24" t="s">
        <v>12</v>
      </c>
      <c r="C24" s="2"/>
      <c r="D24" s="2">
        <v>300</v>
      </c>
      <c r="E24" s="2"/>
      <c r="F24" s="2">
        <v>300</v>
      </c>
      <c r="G24" s="2"/>
      <c r="H24" s="2">
        <v>300</v>
      </c>
      <c r="I24" s="2"/>
      <c r="J24" s="2"/>
      <c r="K24" s="2">
        <v>300</v>
      </c>
      <c r="L24" s="2"/>
      <c r="M24" s="2">
        <v>300</v>
      </c>
    </row>
    <row r="25" spans="2:13" x14ac:dyDescent="0.2">
      <c r="B25" t="s">
        <v>13</v>
      </c>
      <c r="C25" s="2"/>
      <c r="D25" s="3">
        <v>3.2200000000000002E-3</v>
      </c>
      <c r="E25" s="2"/>
      <c r="F25" s="3">
        <f>D25*F23/D23</f>
        <v>3.0590000000000001E-3</v>
      </c>
      <c r="G25" s="2"/>
      <c r="H25" s="3">
        <f>D25*H23/D23</f>
        <v>3.0576046666666661E-3</v>
      </c>
      <c r="I25" s="3"/>
      <c r="J25" s="2"/>
      <c r="K25" s="3">
        <f>F25*K23/F23</f>
        <v>1.2343333333333334E-3</v>
      </c>
      <c r="L25" s="2"/>
      <c r="M25" s="3">
        <f>H25*M23/H23</f>
        <v>1.0733333333333333E-3</v>
      </c>
    </row>
    <row r="26" spans="2:13" x14ac:dyDescent="0.2">
      <c r="B26" t="s">
        <v>14</v>
      </c>
      <c r="C26" s="2"/>
      <c r="D26" s="3">
        <v>2.0000000000000001E-4</v>
      </c>
      <c r="E26" s="2"/>
      <c r="F26" s="3">
        <v>2.0000000000000001E-4</v>
      </c>
      <c r="G26" s="2"/>
      <c r="H26" s="3">
        <v>2.0000000000000001E-4</v>
      </c>
      <c r="I26" s="3"/>
      <c r="J26" s="2"/>
      <c r="K26" s="3">
        <v>2.0000000000000001E-4</v>
      </c>
      <c r="L26" s="2"/>
      <c r="M26" s="3">
        <v>2.0000000000000001E-4</v>
      </c>
    </row>
    <row r="27" spans="2:13" x14ac:dyDescent="0.2">
      <c r="B27" t="s">
        <v>23</v>
      </c>
      <c r="D27" s="4">
        <f>4*D36/(D26*3.14*D11)</f>
        <v>201710.72390411599</v>
      </c>
      <c r="F27" s="4">
        <f>4*F36/(F26*3.14*F11)</f>
        <v>83478.444025169607</v>
      </c>
      <c r="H27" s="4">
        <f>4*H36/(H26*3.14*H11)</f>
        <v>397055.16603452753</v>
      </c>
      <c r="I27" s="4"/>
      <c r="K27" s="4">
        <f>4*K36/(K26*3.14*K11)</f>
        <v>165579.88459476797</v>
      </c>
      <c r="M27" s="4">
        <f>4*M36/(M26*3.14*M11)</f>
        <v>168150.41510103381</v>
      </c>
    </row>
    <row r="28" spans="2:13" x14ac:dyDescent="0.2">
      <c r="B28" t="s">
        <v>24</v>
      </c>
      <c r="D28" s="3">
        <v>5.0000000000000001E-3</v>
      </c>
      <c r="F28" s="3">
        <v>5.0000000000000001E-3</v>
      </c>
      <c r="H28" s="3">
        <v>5.0000000000000001E-3</v>
      </c>
      <c r="I28" s="3"/>
      <c r="K28" s="3">
        <v>5.0000000000000001E-3</v>
      </c>
      <c r="M28" s="3">
        <v>5.0000000000000001E-3</v>
      </c>
    </row>
    <row r="29" spans="2:13" x14ac:dyDescent="0.2">
      <c r="D29" s="3"/>
      <c r="F29" s="3"/>
      <c r="H29" s="3"/>
      <c r="I29" s="3"/>
      <c r="K29" s="3"/>
      <c r="M29" s="3"/>
    </row>
    <row r="30" spans="2:13" x14ac:dyDescent="0.2">
      <c r="B30" t="s">
        <v>21</v>
      </c>
      <c r="C30" s="6">
        <v>285</v>
      </c>
      <c r="D30" s="2">
        <f>C30/0.000014505</f>
        <v>19648397.104446743</v>
      </c>
      <c r="E30" s="7">
        <v>284.87</v>
      </c>
      <c r="F30" s="2">
        <f>E30/0.000014505</f>
        <v>19639434.677697346</v>
      </c>
      <c r="G30" s="2">
        <v>100</v>
      </c>
      <c r="H30" s="2">
        <f>G30/0.000014505</f>
        <v>6894174.4226128925</v>
      </c>
      <c r="I30" s="2"/>
      <c r="J30" s="2">
        <v>100</v>
      </c>
      <c r="K30" s="2">
        <f>J30/0.000014505</f>
        <v>6894174.4226128925</v>
      </c>
      <c r="L30" s="2">
        <v>85</v>
      </c>
      <c r="M30" s="2">
        <f>L30/0.000014505</f>
        <v>5860048.2592209587</v>
      </c>
    </row>
    <row r="31" spans="2:13" x14ac:dyDescent="0.2">
      <c r="B31" t="s">
        <v>30</v>
      </c>
      <c r="C31" s="2"/>
      <c r="D31" s="3">
        <f>D25*D30/D23</f>
        <v>3.0590000000000001E-3</v>
      </c>
      <c r="E31" s="2"/>
      <c r="F31" s="3">
        <f>F25*F30/F23</f>
        <v>3.0576046666666665E-3</v>
      </c>
      <c r="G31" s="2"/>
      <c r="H31" s="3">
        <f>H25*H30/H23</f>
        <v>1.0733333333333333E-3</v>
      </c>
      <c r="I31" s="3"/>
      <c r="J31" s="2"/>
      <c r="K31" s="3">
        <f>K25*K30/K23</f>
        <v>1.0733333333333333E-3</v>
      </c>
      <c r="L31" s="2"/>
      <c r="M31" s="3">
        <f>M25*M30/M23</f>
        <v>9.1233333333333325E-4</v>
      </c>
    </row>
    <row r="32" spans="2:13" x14ac:dyDescent="0.2">
      <c r="B32" t="s">
        <v>11</v>
      </c>
      <c r="C32" s="2">
        <f>(C23+C30)/2</f>
        <v>292.5</v>
      </c>
      <c r="D32" s="2">
        <f>C32/0.000014505</f>
        <v>20165460.186142709</v>
      </c>
      <c r="E32" s="2">
        <f>(E23+E30)/2</f>
        <v>284.935</v>
      </c>
      <c r="F32" s="2">
        <f>E32/0.000014505</f>
        <v>19643915.891072046</v>
      </c>
      <c r="G32" s="2">
        <f>(G23+G30)/2</f>
        <v>192.435</v>
      </c>
      <c r="H32" s="2">
        <f>G32/0.000014505</f>
        <v>13266804.55015512</v>
      </c>
      <c r="I32" s="2"/>
      <c r="J32" s="2">
        <f>(J23+J30)/2</f>
        <v>107.5</v>
      </c>
      <c r="K32" s="2">
        <f>J32/0.000014505</f>
        <v>7411237.5043088598</v>
      </c>
      <c r="L32" s="2">
        <f>(L23+L30)/2</f>
        <v>92.5</v>
      </c>
      <c r="M32" s="2">
        <f>L32/0.000014505</f>
        <v>6377111.3409169251</v>
      </c>
    </row>
    <row r="33" spans="2:13" x14ac:dyDescent="0.2">
      <c r="B33" t="s">
        <v>27</v>
      </c>
      <c r="D33" s="3">
        <f>SQRT(D25*D31)</f>
        <v>3.1384677790284865E-3</v>
      </c>
      <c r="F33" s="3">
        <f>SQRT(F25*F31)</f>
        <v>3.0583022537567037E-3</v>
      </c>
      <c r="H33" s="3">
        <f>SQRT(H25*H31)</f>
        <v>1.8115819078608861E-3</v>
      </c>
      <c r="I33" s="3"/>
      <c r="K33" s="3">
        <f>SQRT(K25*K31)</f>
        <v>1.1510217683046273E-3</v>
      </c>
      <c r="M33" s="3">
        <f>SQRT(M25*M31)</f>
        <v>9.8956443841610319E-4</v>
      </c>
    </row>
    <row r="34" spans="2:13" x14ac:dyDescent="0.2">
      <c r="D34" s="3"/>
      <c r="F34" s="3"/>
      <c r="H34" s="3"/>
      <c r="I34" s="3"/>
      <c r="K34" s="3"/>
      <c r="M34" s="3"/>
    </row>
    <row r="35" spans="2:13" x14ac:dyDescent="0.2">
      <c r="B35" t="s">
        <v>28</v>
      </c>
    </row>
    <row r="36" spans="2:13" x14ac:dyDescent="0.2">
      <c r="B36" t="s">
        <v>25</v>
      </c>
      <c r="D36" s="2">
        <f>D13*D33*SQRT((2*D23/D25)*LN(D23/D30)/(D14*D28/D12+D21))</f>
        <v>80.036011466090969</v>
      </c>
      <c r="F36" s="2">
        <f>F13*F33*SQRT((2*F23/F25)*LN(F23/F30)/(F14*F28/F12+F21))</f>
        <v>87.385026509437509</v>
      </c>
      <c r="H36" s="2">
        <f>H13*H33*SQRT((2*H23/H25)*LN(H23/H30)/(H14*H28/H12+H21))</f>
        <v>68.085193417837033</v>
      </c>
      <c r="I36" s="2"/>
      <c r="K36" s="2">
        <f>K13*K33*SQRT((2*K23/K25)*LN(K23/K30)/(K14*K28/K12+K21))</f>
        <v>44.900363537517073</v>
      </c>
      <c r="M36" s="2">
        <f>M13*M33*SQRT((2*M23/M25)*LN(M23/M30)/(M14*M28/M12+M21))</f>
        <v>50.291266900492701</v>
      </c>
    </row>
    <row r="37" spans="2:13" x14ac:dyDescent="0.2">
      <c r="B37" t="s">
        <v>32</v>
      </c>
      <c r="D37" s="2"/>
      <c r="F37" s="2"/>
      <c r="H37" s="2"/>
      <c r="I37" s="2"/>
      <c r="K37" s="2"/>
      <c r="M37" s="2"/>
    </row>
    <row r="38" spans="2:13" x14ac:dyDescent="0.2">
      <c r="D38" s="2"/>
      <c r="F38" s="2"/>
      <c r="H38" s="2"/>
      <c r="I38" s="2"/>
      <c r="K38" s="2"/>
      <c r="M38" s="2"/>
    </row>
    <row r="40" spans="2:13" x14ac:dyDescent="0.2">
      <c r="B40" t="s">
        <v>26</v>
      </c>
    </row>
    <row r="41" spans="2:13" x14ac:dyDescent="0.2">
      <c r="B41" t="s">
        <v>21</v>
      </c>
      <c r="D41" s="2">
        <f>C41/0.000014505</f>
        <v>0</v>
      </c>
      <c r="F41" s="2">
        <f>E41/0.000014505</f>
        <v>0</v>
      </c>
      <c r="H41" s="2">
        <f>G41/0.000014505</f>
        <v>0</v>
      </c>
      <c r="I41" s="2"/>
      <c r="K41" s="2">
        <f>J41/0.000014505</f>
        <v>0</v>
      </c>
      <c r="M41" s="2">
        <f>L41/0.000014505</f>
        <v>0</v>
      </c>
    </row>
    <row r="45" spans="2:13" x14ac:dyDescent="0.2">
      <c r="B45" t="s">
        <v>31</v>
      </c>
      <c r="C45">
        <f>D45*0.0000145</f>
        <v>14.993185685866402</v>
      </c>
      <c r="D45">
        <f>(0.5*D36^2/(D33*D13^2))*(D14*D28/D12+D21)</f>
        <v>1034012.8059218208</v>
      </c>
    </row>
    <row r="46" spans="2:13" x14ac:dyDescent="0.2">
      <c r="C46">
        <f>(D23/D25)*D33*LN(D23/D30)*0.0000145</f>
        <v>14.993185685866406</v>
      </c>
    </row>
  </sheetData>
  <pageMargins left="0.75" right="0.75" top="1" bottom="1" header="0.5" footer="0.5"/>
  <pageSetup paperSize="0" orientation="portrait" horizontalDpi="4294967292" verticalDpi="429496729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10.90625" defaultRowHeight="12.6" x14ac:dyDescent="0.2"/>
  <sheetData/>
  <phoneticPr fontId="1" type="noConversion"/>
  <pageMargins left="0.75" right="0.75" top="1" bottom="1" header="0.5" footer="0.5"/>
  <pageSetup orientation="portrait" horizontalDpi="4294967292" verticalDpi="429496729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10.90625" defaultRowHeight="12.6" x14ac:dyDescent="0.2"/>
  <sheetData/>
  <phoneticPr fontId="1" type="noConversion"/>
  <pageMargins left="0.75" right="0.75" top="1" bottom="1" header="0.5" footer="0.5"/>
  <pageSetup orientation="portrait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Peterson</dc:creator>
  <cp:lastModifiedBy>Irina Novitski x2831,3896 13429N</cp:lastModifiedBy>
  <dcterms:created xsi:type="dcterms:W3CDTF">2008-12-23T17:00:31Z</dcterms:created>
  <dcterms:modified xsi:type="dcterms:W3CDTF">2019-06-24T20:00:09Z</dcterms:modified>
</cp:coreProperties>
</file>