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lin/spinAtGeV-RLA_YR/homework_3/"/>
    </mc:Choice>
  </mc:AlternateContent>
  <xr:revisionPtr revIDLastSave="0" documentId="8_{5A56614D-8B69-AE41-88D1-63FAF01BC66B}" xr6:coauthVersionLast="36" xr6:coauthVersionMax="36" xr10:uidLastSave="{00000000-0000-0000-0000-000000000000}"/>
  <bookViews>
    <workbookView xWindow="4580" yWindow="4740" windowWidth="21620" windowHeight="11280" xr2:uid="{6C101779-889B-A347-9C92-7982BD1EEC2D}"/>
  </bookViews>
  <sheets>
    <sheet name="1030 1030" sheetId="1" r:id="rId1"/>
  </sheets>
  <calcPr calcId="181029" iterate="1" iterateCount="1000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D3" i="1" l="1"/>
  <c r="H6" i="1" l="1"/>
  <c r="H5" i="1" l="1"/>
  <c r="G2" i="1"/>
  <c r="B8" i="1" l="1"/>
  <c r="B10" i="1" s="1"/>
  <c r="L2" i="1"/>
  <c r="K2" i="1"/>
  <c r="I2" i="1"/>
  <c r="H2" i="1" l="1"/>
  <c r="C10" i="1" l="1"/>
  <c r="D10" i="1" s="1"/>
  <c r="E10" i="1" l="1"/>
  <c r="B11" i="1" s="1"/>
  <c r="C11" i="1" l="1"/>
  <c r="D11" i="1" s="1"/>
  <c r="F10" i="1"/>
  <c r="H10" i="1" s="1"/>
  <c r="C24" i="1" s="1"/>
  <c r="C27" i="1" s="1"/>
  <c r="E11" i="1" l="1"/>
  <c r="B12" i="1" s="1"/>
  <c r="K13" i="1"/>
  <c r="J24" i="1" s="1"/>
  <c r="G10" i="1"/>
  <c r="C23" i="1" s="1"/>
  <c r="C26" i="1" s="1"/>
  <c r="I10" i="1"/>
  <c r="K14" i="1" s="1"/>
  <c r="J25" i="1" s="1"/>
  <c r="C12" i="1" l="1"/>
  <c r="D12" i="1" s="1"/>
  <c r="F11" i="1"/>
  <c r="H11" i="1" s="1"/>
  <c r="D24" i="1" s="1"/>
  <c r="D27" i="1" s="1"/>
  <c r="C25" i="1"/>
  <c r="C28" i="1" s="1"/>
  <c r="K12" i="1"/>
  <c r="J23" i="1" s="1"/>
  <c r="E12" i="1" l="1"/>
  <c r="B13" i="1" s="1"/>
  <c r="L13" i="1"/>
  <c r="K24" i="1" s="1"/>
  <c r="I11" i="1"/>
  <c r="L14" i="1" s="1"/>
  <c r="K25" i="1" s="1"/>
  <c r="G11" i="1"/>
  <c r="L12" i="1" s="1"/>
  <c r="K23" i="1" s="1"/>
  <c r="C13" i="1" l="1"/>
  <c r="D25" i="1"/>
  <c r="D28" i="1" s="1"/>
  <c r="F12" i="1"/>
  <c r="D23" i="1"/>
  <c r="D26" i="1" s="1"/>
  <c r="D13" i="1" l="1"/>
  <c r="E13" i="1" s="1"/>
  <c r="B14" i="1" s="1"/>
  <c r="C14" i="1" s="1"/>
  <c r="D14" i="1" s="1"/>
  <c r="I12" i="1"/>
  <c r="G12" i="1"/>
  <c r="H12" i="1"/>
  <c r="F13" i="1" l="1"/>
  <c r="G13" i="1" s="1"/>
  <c r="N12" i="1" s="1"/>
  <c r="M23" i="1" s="1"/>
  <c r="C16" i="1"/>
  <c r="E24" i="1"/>
  <c r="E27" i="1" s="1"/>
  <c r="M13" i="1"/>
  <c r="L24" i="1" s="1"/>
  <c r="M12" i="1"/>
  <c r="L23" i="1" s="1"/>
  <c r="E23" i="1"/>
  <c r="E26" i="1" s="1"/>
  <c r="E25" i="1"/>
  <c r="E28" i="1" s="1"/>
  <c r="M14" i="1"/>
  <c r="L25" i="1" s="1"/>
  <c r="E14" i="1"/>
  <c r="C18" i="1"/>
  <c r="C17" i="1"/>
  <c r="H13" i="1" l="1"/>
  <c r="I13" i="1"/>
  <c r="F14" i="1"/>
  <c r="G14" i="1" s="1"/>
  <c r="G23" i="1" s="1"/>
  <c r="G26" i="1" s="1"/>
  <c r="F25" i="1"/>
  <c r="F28" i="1" s="1"/>
  <c r="N14" i="1"/>
  <c r="M25" i="1" s="1"/>
  <c r="F24" i="1"/>
  <c r="F27" i="1" s="1"/>
  <c r="N13" i="1"/>
  <c r="M24" i="1" s="1"/>
  <c r="F23" i="1"/>
  <c r="F26" i="1" s="1"/>
  <c r="I14" i="1" l="1"/>
  <c r="O14" i="1" s="1"/>
  <c r="N25" i="1" s="1"/>
  <c r="H14" i="1"/>
  <c r="O12" i="1"/>
  <c r="N23" i="1" s="1"/>
  <c r="O13" i="1" l="1"/>
  <c r="N24" i="1" s="1"/>
  <c r="G25" i="1"/>
  <c r="G28" i="1" s="1"/>
  <c r="G24" i="1"/>
  <c r="G27" i="1" s="1"/>
  <c r="K19" i="1" l="1"/>
  <c r="L19" i="1" s="1"/>
  <c r="K16" i="1"/>
  <c r="L16" i="1" s="1"/>
  <c r="K17" i="1"/>
  <c r="L17" i="1" s="1"/>
  <c r="K18" i="1"/>
  <c r="L18" i="1" s="1"/>
</calcChain>
</file>

<file path=xl/sharedStrings.xml><?xml version="1.0" encoding="utf-8"?>
<sst xmlns="http://schemas.openxmlformats.org/spreadsheetml/2006/main" count="85" uniqueCount="53">
  <si>
    <t>inj</t>
  </si>
  <si>
    <t>linac1</t>
  </si>
  <si>
    <t>linac2</t>
  </si>
  <si>
    <t>hallc theta</t>
  </si>
  <si>
    <t xml:space="preserve"> </t>
  </si>
  <si>
    <t>A</t>
  </si>
  <si>
    <t>C</t>
  </si>
  <si>
    <t>B</t>
  </si>
  <si>
    <t>arc</t>
  </si>
  <si>
    <t>hla</t>
  </si>
  <si>
    <t>hlb</t>
  </si>
  <si>
    <t>hlc</t>
  </si>
  <si>
    <t>wien rot.</t>
  </si>
  <si>
    <t>arc theta</t>
  </si>
  <si>
    <t>halla theta</t>
  </si>
  <si>
    <t>hallb theta</t>
  </si>
  <si>
    <t>g</t>
  </si>
  <si>
    <t>nA</t>
  </si>
  <si>
    <t>nB</t>
  </si>
  <si>
    <t>nC</t>
  </si>
  <si>
    <t>(g-2)/2m_e</t>
  </si>
  <si>
    <t>wien</t>
  </si>
  <si>
    <t>n</t>
  </si>
  <si>
    <t>east arc</t>
  </si>
  <si>
    <t>west arc</t>
  </si>
  <si>
    <t>sum spin</t>
  </si>
  <si>
    <t>end NL</t>
  </si>
  <si>
    <t>end SL</t>
  </si>
  <si>
    <t>HALLA</t>
  </si>
  <si>
    <t>sync rad on</t>
  </si>
  <si>
    <t>inj+NL</t>
  </si>
  <si>
    <t>Hall A</t>
  </si>
  <si>
    <t>Hall B</t>
  </si>
  <si>
    <t>Hall C</t>
  </si>
  <si>
    <t>HALLC</t>
  </si>
  <si>
    <t>HALLB</t>
  </si>
  <si>
    <t>P^2 matrix</t>
  </si>
  <si>
    <t>precessions</t>
  </si>
  <si>
    <t>wien required</t>
  </si>
  <si>
    <t>with flipper</t>
  </si>
  <si>
    <t>spin right</t>
  </si>
  <si>
    <t>spin left</t>
  </si>
  <si>
    <t>nominal</t>
  </si>
  <si>
    <t>HA pol</t>
  </si>
  <si>
    <t>HB pol</t>
  </si>
  <si>
    <t>HC poll</t>
  </si>
  <si>
    <t>a3b5</t>
  </si>
  <si>
    <t>a4b5</t>
  </si>
  <si>
    <t>a2b5</t>
  </si>
  <si>
    <t>a1b5</t>
  </si>
  <si>
    <t>ARC</t>
  </si>
  <si>
    <t>nd</t>
  </si>
  <si>
    <t>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</si>
</sst>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2"/>
      <color rgb="FF000000"/>
      <name val="Menlo"/>
      <family val="2"/>
    </font>
    <font>
      <sz val="12"/>
      <color theme="1"/>
      <name val="Calibri"/>
      <family val="2"/>
      <scheme val="minor"/>
    </font>
    <font>
      <sz val="12"/>
      <color rgb="FF3F3F3F"/>
      <name val="Calibri"/>
      <family val="2"/>
      <scheme val="minor"/>
    </font>
    <font>
      <sz val="11"/>
      <color rgb="FF9C57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3F3F3F"/>
      </left>
      <right/>
      <top/>
      <bottom/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</cellStyleXfs>
  <cellXfs count="20">
    <xf numFmtId="0" fontId="0" fillId="0" borderId="0" xfId="0"/>
    <xf numFmtId="11" fontId="0" fillId="0" borderId="0" xfId="0" applyNumberFormat="1"/>
    <xf numFmtId="0" fontId="0" fillId="0" borderId="0" xfId="0" applyFill="1"/>
    <xf numFmtId="0" fontId="2" fillId="3" borderId="2" xfId="2"/>
    <xf numFmtId="0" fontId="1" fillId="2" borderId="1" xfId="1"/>
    <xf numFmtId="0" fontId="2" fillId="0" borderId="0" xfId="2" applyFill="1" applyBorder="1"/>
    <xf numFmtId="0" fontId="2" fillId="3" borderId="3" xfId="2" applyBorder="1"/>
    <xf numFmtId="0" fontId="3" fillId="0" borderId="0" xfId="0" applyFont="1"/>
    <xf numFmtId="0" fontId="2" fillId="0" borderId="4" xfId="2" applyFill="1" applyBorder="1"/>
    <xf numFmtId="0" fontId="2" fillId="0" borderId="5" xfId="2" applyFill="1" applyBorder="1"/>
    <xf numFmtId="0" fontId="4" fillId="4" borderId="1" xfId="3" applyBorder="1"/>
    <xf numFmtId="0" fontId="4" fillId="4" borderId="2" xfId="3" applyBorder="1"/>
    <xf numFmtId="0" fontId="0" fillId="0" borderId="0" xfId="0" applyFill="1" applyBorder="1"/>
    <xf numFmtId="0" fontId="5" fillId="0" borderId="0" xfId="2" applyFont="1" applyFill="1" applyBorder="1"/>
    <xf numFmtId="0" fontId="0" fillId="0" borderId="0" xfId="0" applyFont="1" applyFill="1" applyBorder="1"/>
    <xf numFmtId="0" fontId="0" fillId="0" borderId="0" xfId="0" applyBorder="1"/>
    <xf numFmtId="0" fontId="2" fillId="3" borderId="0" xfId="2" applyBorder="1"/>
    <xf numFmtId="0" fontId="2" fillId="3" borderId="4" xfId="2" applyBorder="1"/>
    <xf numFmtId="0" fontId="6" fillId="5" borderId="0" xfId="4"/>
    <xf numFmtId="0" fontId="2" fillId="6" borderId="4" xfId="2" applyFill="1" applyBorder="1"/>
  </cellXfs>
  <cellStyles count="5">
    <cellStyle name="20% - Accent1" xfId="3" builtinId="30"/>
    <cellStyle name="Input" xfId="1" builtinId="20"/>
    <cellStyle name="Neutral" xfId="4" builtinId="28"/>
    <cellStyle name="Normal" xfId="0" builtinId="0"/>
    <cellStyle name="Output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39E03-6EBD-5841-98EF-589FFB291AA4}">
  <dimension ref="A1:V48"/>
  <sheetViews>
    <sheetView tabSelected="1" topLeftCell="A2" workbookViewId="0">
      <selection activeCell="E16" sqref="E16"/>
    </sheetView>
  </sheetViews>
  <sheetFormatPr baseColWidth="10" defaultColWidth="11.1640625" defaultRowHeight="16" x14ac:dyDescent="0.2"/>
  <cols>
    <col min="8" max="8" width="12.5" customWidth="1"/>
    <col min="9" max="9" width="15.33203125" customWidth="1"/>
    <col min="10" max="10" width="15" customWidth="1"/>
    <col min="15" max="15" width="18.6640625" customWidth="1"/>
    <col min="17" max="17" width="16.1640625" customWidth="1"/>
  </cols>
  <sheetData>
    <row r="1" spans="1:17" x14ac:dyDescent="0.2">
      <c r="A1" t="s">
        <v>17</v>
      </c>
      <c r="B1" t="s">
        <v>18</v>
      </c>
      <c r="C1" t="s">
        <v>19</v>
      </c>
      <c r="D1" t="s">
        <v>0</v>
      </c>
      <c r="E1" t="s">
        <v>1</v>
      </c>
      <c r="F1" t="s">
        <v>2</v>
      </c>
      <c r="G1" t="s">
        <v>12</v>
      </c>
      <c r="H1" t="s">
        <v>13</v>
      </c>
      <c r="I1" t="s">
        <v>14</v>
      </c>
      <c r="J1" t="s">
        <v>15</v>
      </c>
      <c r="K1" t="s">
        <v>3</v>
      </c>
      <c r="L1" t="s">
        <v>20</v>
      </c>
      <c r="M1" t="s">
        <v>16</v>
      </c>
    </row>
    <row r="2" spans="1:17" x14ac:dyDescent="0.2">
      <c r="A2" s="10">
        <v>1</v>
      </c>
      <c r="B2" s="10">
        <v>5</v>
      </c>
      <c r="C2" s="10">
        <v>5</v>
      </c>
      <c r="D2" s="4">
        <v>78.790000000000006</v>
      </c>
      <c r="E2" s="4">
        <v>700</v>
      </c>
      <c r="F2" s="4">
        <v>700</v>
      </c>
      <c r="G2">
        <f>RADIANS(G5)</f>
        <v>0</v>
      </c>
      <c r="H2">
        <f>RADIANS(180)</f>
        <v>3.1415926535897931</v>
      </c>
      <c r="I2">
        <f>RADIANS(37.5)</f>
        <v>0.6544984694978736</v>
      </c>
      <c r="J2">
        <v>0</v>
      </c>
      <c r="K2">
        <f>RADIANS(-37.5)</f>
        <v>-0.6544984694978736</v>
      </c>
      <c r="L2">
        <f>(M2-2)/2/0.51099906</f>
        <v>2.2693822176500971E-3</v>
      </c>
      <c r="M2">
        <v>2.0023193043599998</v>
      </c>
    </row>
    <row r="3" spans="1:17" x14ac:dyDescent="0.2">
      <c r="C3" t="s">
        <v>42</v>
      </c>
      <c r="D3" s="18">
        <f>E2/1090*123</f>
        <v>78.9908256880734</v>
      </c>
      <c r="E3" t="s">
        <v>4</v>
      </c>
      <c r="F3" t="s">
        <v>4</v>
      </c>
      <c r="H3" t="s">
        <v>8</v>
      </c>
      <c r="I3" t="s">
        <v>9</v>
      </c>
      <c r="J3" t="s">
        <v>10</v>
      </c>
      <c r="K3" t="s">
        <v>11</v>
      </c>
      <c r="O3" t="s">
        <v>4</v>
      </c>
      <c r="P3" t="s">
        <v>4</v>
      </c>
    </row>
    <row r="4" spans="1:17" x14ac:dyDescent="0.2">
      <c r="E4" t="s">
        <v>4</v>
      </c>
      <c r="G4" t="s">
        <v>4</v>
      </c>
      <c r="H4" t="s">
        <v>39</v>
      </c>
    </row>
    <row r="5" spans="1:17" x14ac:dyDescent="0.2">
      <c r="F5" t="s">
        <v>21</v>
      </c>
      <c r="G5" s="4">
        <v>0</v>
      </c>
      <c r="H5" s="3">
        <f>G5-90</f>
        <v>-90</v>
      </c>
      <c r="I5" t="s">
        <v>41</v>
      </c>
      <c r="J5" t="s">
        <v>4</v>
      </c>
    </row>
    <row r="6" spans="1:17" x14ac:dyDescent="0.2">
      <c r="E6" t="s">
        <v>4</v>
      </c>
      <c r="H6">
        <f>G5+90</f>
        <v>90</v>
      </c>
      <c r="I6" t="s">
        <v>40</v>
      </c>
    </row>
    <row r="7" spans="1:17" x14ac:dyDescent="0.2">
      <c r="A7" t="s">
        <v>4</v>
      </c>
      <c r="B7" t="s">
        <v>29</v>
      </c>
      <c r="C7">
        <v>1</v>
      </c>
      <c r="H7" t="s">
        <v>4</v>
      </c>
      <c r="J7" s="1" t="s">
        <v>4</v>
      </c>
    </row>
    <row r="8" spans="1:17" x14ac:dyDescent="0.2">
      <c r="A8" t="s">
        <v>30</v>
      </c>
      <c r="B8">
        <f>$D$2+$E$2</f>
        <v>778.79</v>
      </c>
    </row>
    <row r="9" spans="1:17" x14ac:dyDescent="0.2">
      <c r="A9" t="s">
        <v>22</v>
      </c>
      <c r="B9" t="s">
        <v>23</v>
      </c>
      <c r="C9" t="s">
        <v>27</v>
      </c>
      <c r="D9" t="s">
        <v>24</v>
      </c>
      <c r="E9" t="s">
        <v>26</v>
      </c>
      <c r="F9" t="s">
        <v>25</v>
      </c>
      <c r="G9" t="s">
        <v>5</v>
      </c>
      <c r="H9" t="s">
        <v>7</v>
      </c>
      <c r="I9" t="s">
        <v>6</v>
      </c>
      <c r="J9" t="s">
        <v>37</v>
      </c>
    </row>
    <row r="10" spans="1:17" x14ac:dyDescent="0.2">
      <c r="A10">
        <v>1</v>
      </c>
      <c r="B10">
        <f>B8-0.08846*$C$7*POWER(B8/1000,4)*0.5*PI()/$I$34/$J$34</f>
        <v>778.78680659050849</v>
      </c>
      <c r="C10">
        <f>B10+$F$2</f>
        <v>1478.7868065905086</v>
      </c>
      <c r="D10">
        <f>C10-0.08846*$C$7*POWER(C10/1000,4)*0.5*PI()/$I$35/$J$35</f>
        <v>1478.7660495506325</v>
      </c>
      <c r="E10">
        <f>$E$2+D10</f>
        <v>2178.7660495506325</v>
      </c>
      <c r="F10">
        <f>$L$2*PI()*B10+$L$2*PI()*D10+$G$2</f>
        <v>16.095165527387206</v>
      </c>
      <c r="G10">
        <f>$L$2*$I$2*C10-$L$2*PI()*D10+F10</f>
        <v>7.7487933545636025</v>
      </c>
      <c r="H10">
        <f>F10-$L$2*PI()*D10</f>
        <v>5.5523406809819811</v>
      </c>
      <c r="I10">
        <f>$L$2*$K$2*C10+F10-$L$2*PI()*D10</f>
        <v>3.3558880074003596</v>
      </c>
    </row>
    <row r="11" spans="1:17" x14ac:dyDescent="0.2">
      <c r="A11">
        <v>2</v>
      </c>
      <c r="B11">
        <f>E10-0.08846*$C$7*POWER(E10/1000,4)*0.5*PI()/$I$36/$J$36</f>
        <v>2178.6682390351216</v>
      </c>
      <c r="C11">
        <f>B11+$F$2</f>
        <v>2878.6682390351216</v>
      </c>
      <c r="D11">
        <f>C11-0.08846*$C$7*POWER(C11/1000,4)*0.5*PI()/$I$37/$J$37</f>
        <v>2878.519207004249</v>
      </c>
      <c r="E11">
        <f>$E$2+D11</f>
        <v>3578.519207004249</v>
      </c>
      <c r="F11">
        <f>$L$2*PI()*B11+$L$2*PI()*D11+F10</f>
        <v>52.150254481609849</v>
      </c>
      <c r="G11">
        <f>$L$2*$I$2*C11-$L$2*PI()*D11+F11</f>
        <v>35.903631816185836</v>
      </c>
      <c r="H11">
        <f>F11-$L$2*PI()*D11</f>
        <v>31.62792518842576</v>
      </c>
      <c r="I11">
        <f>$L$2*$K$2*C11+F11-$L$2*PI()*D11</f>
        <v>27.352218560665687</v>
      </c>
      <c r="K11">
        <v>1</v>
      </c>
      <c r="L11">
        <v>2</v>
      </c>
      <c r="M11">
        <v>3</v>
      </c>
      <c r="N11">
        <v>4</v>
      </c>
      <c r="O11">
        <v>5</v>
      </c>
    </row>
    <row r="12" spans="1:17" x14ac:dyDescent="0.2">
      <c r="A12">
        <v>3</v>
      </c>
      <c r="B12">
        <f>E11-0.08846*$C$7*POWER(E11/1000,4)*0.5*PI()/$I$38/$J$38</f>
        <v>3578.1633081702125</v>
      </c>
      <c r="C12">
        <f>B12+$F$2</f>
        <v>4278.163308170213</v>
      </c>
      <c r="D12">
        <f>C12-0.08846*$C$7*POWER(C12/1000,4)*0.5*PI()/$I$39/$J$39</f>
        <v>4277.4362944789636</v>
      </c>
      <c r="E12">
        <f>$E$2+D12</f>
        <v>4977.4362944789636</v>
      </c>
      <c r="F12">
        <f>$L$2*PI()*B12+$L$2*PI()*D12+F11</f>
        <v>108.1565515557063</v>
      </c>
      <c r="G12">
        <f>$L$2*$I$2*C12-$L$2*PI()*D12+F12</f>
        <v>84.015065269078434</v>
      </c>
      <c r="H12">
        <f>F12-$L$2*PI()*D12</f>
        <v>77.66067855534078</v>
      </c>
      <c r="I12">
        <f>$L$2*$K$2*C12+F12-$L$2*PI()*D12</f>
        <v>71.306291841603127</v>
      </c>
      <c r="J12" t="s">
        <v>28</v>
      </c>
      <c r="K12">
        <f>MOD(CHOOSE(1,$G$10,$G$11,$G$12,$G$13,$G$14)/PI(),2)*180</f>
        <v>83.973155535513669</v>
      </c>
      <c r="L12">
        <f>MOD(CHOOSE(2,$G$10,$G$11,$G$12,$G$13,$G$14)/PI(),2)*180</f>
        <v>257.12657225907105</v>
      </c>
      <c r="M12">
        <f>MOD(CHOOSE(3,$G$10,$G$11,$G$12,$G$13,$G$14)/PI(),2)*180</f>
        <v>133.70865543433865</v>
      </c>
      <c r="N12">
        <f>MOD(CHOOSE(4,$G$10,$G$11,$G$12,$G$13,$G$14)/PI(),2)*180</f>
        <v>72.862802245537637</v>
      </c>
      <c r="O12">
        <f>MOD(CHOOSE(5,$G$10,$G$11,$G$12,$G$13,$G$14)/PI(),2)*180</f>
        <v>73.025505569012239</v>
      </c>
    </row>
    <row r="13" spans="1:17" x14ac:dyDescent="0.2">
      <c r="A13">
        <v>4</v>
      </c>
      <c r="B13">
        <f>E12-0.08846*$C$7*POWER(E12/1000,4)*0.5*PI()/$I$40/$J$40</f>
        <v>4976.548230993616</v>
      </c>
      <c r="C13">
        <f>B13+$F$2</f>
        <v>5676.548230993616</v>
      </c>
      <c r="D13">
        <f>C13-0.08846*$C$7*POWER(C13/1000,4)*0.5*PI()/$I$41/$J$41</f>
        <v>5675.0459246494656</v>
      </c>
      <c r="E13">
        <f>$E$2+D13</f>
        <v>6375.0459246494656</v>
      </c>
      <c r="F13">
        <f>$L$2*PI()*B13+$L$2*PI()*D13+F12</f>
        <v>184.09682050633825</v>
      </c>
      <c r="G13">
        <f>$L$2*$I$2*C13-$L$2*PI()*D13+F13</f>
        <v>152.06814317372422</v>
      </c>
      <c r="H13">
        <f>F13-$L$2*PI()*D13</f>
        <v>143.63672528230563</v>
      </c>
      <c r="I13">
        <f>$L$2*$K$2*C13+F13-$L$2*PI()*D13</f>
        <v>135.20530739088707</v>
      </c>
      <c r="J13" t="s">
        <v>35</v>
      </c>
      <c r="K13">
        <f>MOD(CHOOSE(1,$H$10,$H$11,$H$12,$H$13,$H$14)/PI(),2)*180</f>
        <v>318.12568743906098</v>
      </c>
      <c r="L13">
        <f>MOD(CHOOSE(2,$H$10,$H$11,$H$12,$H$13,$H$14)/PI(),2)*180</f>
        <v>12.146628052304997</v>
      </c>
      <c r="M13">
        <f>MOD(CHOOSE(3,$H$10,$H$11,$H$12,$H$13,$H$14)/PI(),2)*180</f>
        <v>129.62911534316595</v>
      </c>
      <c r="N13">
        <f>MOD(CHOOSE(4,$H$10,$H$11,$H$12,$H$13,$H$14)/PI(),2)*180</f>
        <v>309.77814175616089</v>
      </c>
      <c r="O13">
        <f>MOD(CHOOSE(5,$H$10,$H$11,$H$12,$H$13,$H$14)/PI(),2)*180</f>
        <v>191.12950070655103</v>
      </c>
      <c r="Q13" t="s">
        <v>4</v>
      </c>
    </row>
    <row r="14" spans="1:17" x14ac:dyDescent="0.2">
      <c r="A14">
        <v>5</v>
      </c>
      <c r="B14">
        <f>E13-0.08846*$C$7*POWER(E13/1000,4)*0.5*PI()/$I$42/$J$42</f>
        <v>6372.6561637931936</v>
      </c>
      <c r="C14">
        <f>B14+$F$2</f>
        <v>7072.6561637931936</v>
      </c>
      <c r="D14">
        <f>C14-0.08846*$C$7*POWER(C14/1000,4)*0.5*PI()/$I$43/$J$43</f>
        <v>7069.9408917938217</v>
      </c>
      <c r="E14">
        <f>$E$2+D14</f>
        <v>7769.9408917938217</v>
      </c>
      <c r="F14">
        <f>$L$2*PI()*B14+$L$2*PI()*D14+F13</f>
        <v>279.93547347035735</v>
      </c>
      <c r="G14">
        <f>$L$2*$I$2*C14-$L$2*PI()*D14+F14</f>
        <v>240.03557718293698</v>
      </c>
      <c r="H14">
        <f>F14-$L$2*PI()*D14</f>
        <v>229.53051014348725</v>
      </c>
      <c r="I14">
        <f>$L$2*$K$2*C14+F14-$L$2*PI()*D14</f>
        <v>219.02544310403752</v>
      </c>
      <c r="J14" t="s">
        <v>34</v>
      </c>
      <c r="K14">
        <f>MOD(CHOOSE(1,$I$10,$I$11,$I$12,$I$13,$I$14)/PI(),2)*180</f>
        <v>192.27821934260817</v>
      </c>
      <c r="L14">
        <f>MOD(CHOOSE(2,$I$10,$I$11,$I$12,$I$13,$I$14)/PI(),2)*180</f>
        <v>127.16668384553924</v>
      </c>
      <c r="M14">
        <f>MOD(CHOOSE(3,$I$10,$I$11,$I$12,$I$13,$I$14)/PI(),2)*180</f>
        <v>125.54957525199391</v>
      </c>
      <c r="N14">
        <f>MOD(CHOOSE(4,$I$10,$I$11,$I$12,$I$13,$I$14)/PI(),2)*180</f>
        <v>186.69348126678543</v>
      </c>
      <c r="O14">
        <f>MOD(CHOOSE(5,$I$10,$I$11,$I$12,$I$13,$I$14)/PI(),2)*180</f>
        <v>309.23349584408982</v>
      </c>
    </row>
    <row r="16" spans="1:17" x14ac:dyDescent="0.2">
      <c r="B16" t="s">
        <v>31</v>
      </c>
      <c r="C16" s="11">
        <f>CHOOSE(A2,C10,C11,C12,C13,C14)</f>
        <v>1478.7868065905086</v>
      </c>
      <c r="J16" t="s">
        <v>47</v>
      </c>
      <c r="K16">
        <f>M23+N24</f>
        <v>-83.992302952088664</v>
      </c>
      <c r="L16">
        <f>K16/2</f>
        <v>-41.996151476044332</v>
      </c>
    </row>
    <row r="17" spans="1:18" x14ac:dyDescent="0.2">
      <c r="B17" t="s">
        <v>32</v>
      </c>
      <c r="C17" s="11">
        <f>CHOOSE(B2,C10,C11,C12,C13,C14)</f>
        <v>7072.6561637931936</v>
      </c>
      <c r="H17" t="s">
        <v>4</v>
      </c>
      <c r="I17" t="s">
        <v>4</v>
      </c>
      <c r="J17" t="s">
        <v>46</v>
      </c>
      <c r="K17">
        <f>L23+N24</f>
        <v>35.16184385911032</v>
      </c>
      <c r="L17">
        <f>K17/2</f>
        <v>17.58092192955516</v>
      </c>
    </row>
    <row r="18" spans="1:18" x14ac:dyDescent="0.2">
      <c r="B18" t="s">
        <v>33</v>
      </c>
      <c r="C18" s="11">
        <f>CHOOSE(C2,C10,C11,C12,C13,C14)</f>
        <v>7072.6561637931936</v>
      </c>
      <c r="J18" t="s">
        <v>48</v>
      </c>
      <c r="K18">
        <f>K23+N24</f>
        <v>-88.256072965622081</v>
      </c>
      <c r="L18">
        <f>K18/2</f>
        <v>-44.128036482811041</v>
      </c>
    </row>
    <row r="19" spans="1:18" x14ac:dyDescent="0.2">
      <c r="F19" t="s">
        <v>4</v>
      </c>
      <c r="G19" t="s">
        <v>4</v>
      </c>
      <c r="H19" t="s">
        <v>4</v>
      </c>
      <c r="J19" t="s">
        <v>49</v>
      </c>
      <c r="K19">
        <f>J23+N24</f>
        <v>-95.102656242064697</v>
      </c>
      <c r="L19">
        <f>K19/2</f>
        <v>-47.551328121032348</v>
      </c>
    </row>
    <row r="20" spans="1:18" x14ac:dyDescent="0.2">
      <c r="C20" s="5"/>
      <c r="D20" s="5"/>
      <c r="E20" s="5"/>
      <c r="F20" s="5"/>
      <c r="G20" s="5"/>
      <c r="H20" s="5"/>
      <c r="I20" t="s">
        <v>38</v>
      </c>
    </row>
    <row r="21" spans="1:18" x14ac:dyDescent="0.2">
      <c r="A21" s="3" t="s">
        <v>36</v>
      </c>
      <c r="B21" s="3"/>
      <c r="C21" s="6"/>
      <c r="D21" s="6"/>
      <c r="E21" s="6"/>
      <c r="F21" s="6"/>
      <c r="G21" s="6"/>
      <c r="I21" s="3"/>
      <c r="J21" s="3">
        <v>1</v>
      </c>
      <c r="K21" s="3">
        <v>2</v>
      </c>
      <c r="L21" s="3">
        <v>3</v>
      </c>
      <c r="M21" s="3">
        <v>4</v>
      </c>
      <c r="N21" s="3">
        <v>5</v>
      </c>
    </row>
    <row r="22" spans="1:18" x14ac:dyDescent="0.2">
      <c r="A22" s="3"/>
      <c r="B22" s="3"/>
      <c r="C22" s="3">
        <v>1</v>
      </c>
      <c r="D22" s="3">
        <v>2</v>
      </c>
      <c r="E22" s="3">
        <v>3</v>
      </c>
      <c r="F22" s="3">
        <v>4</v>
      </c>
      <c r="G22" s="3">
        <v>5</v>
      </c>
      <c r="I22" s="3" t="s">
        <v>4</v>
      </c>
      <c r="J22" s="3"/>
      <c r="K22" s="3"/>
      <c r="L22" s="3"/>
      <c r="M22" s="3"/>
      <c r="N22" s="3"/>
    </row>
    <row r="23" spans="1:18" x14ac:dyDescent="0.2">
      <c r="A23" s="3"/>
      <c r="B23" s="3" t="s">
        <v>28</v>
      </c>
      <c r="C23" s="3">
        <f>POWER(COS(MOD(CHOOSE(1,$G$10,$G$11,$G$12,$G$13,$G$14)/PI(),2)*PI()),2)</f>
        <v>1.1023826014484706E-2</v>
      </c>
      <c r="D23" s="3">
        <f>POWER(COS(MOD(CHOOSE(2,$G$10,$G$11,$G$12,$G$13,$G$14)/PI(),2)*PI()),2)</f>
        <v>4.9638959362290326E-2</v>
      </c>
      <c r="E23" s="3">
        <f>POWER(COS(MOD(CHOOSE(3,$G$10,$G$11,$G$12,$G$13,$G$14)/PI(),2)*PI()),2)</f>
        <v>0.47746941728397407</v>
      </c>
      <c r="F23" s="3">
        <f>POWER(COS(MOD(CHOOSE(4,$G$10,$G$11,$G$12,$G$13,$G$14)/PI(),2)*PI()),2)</f>
        <v>8.6824978986713763E-2</v>
      </c>
      <c r="G23" s="3">
        <f>POWER(COS(MOD(CHOOSE(5,$G$10,$G$11,$G$12,$G$13,$G$14)/PI(),2)*PI()),2)</f>
        <v>8.5232449876907493E-2</v>
      </c>
      <c r="I23" s="3" t="s">
        <v>28</v>
      </c>
      <c r="J23" s="3">
        <f t="shared" ref="J23:N25" si="0">IF(K12&lt;-260,360+K12,IF(K12&lt;-100,180+K12,IF(K12&lt;=0,-K12,IF(K12&lt;=100,-K12,IF(K12&lt;=260,180-K12,360-K12)))))</f>
        <v>-83.973155535513669</v>
      </c>
      <c r="K23" s="3">
        <f t="shared" si="0"/>
        <v>-77.126572259071054</v>
      </c>
      <c r="L23" s="3">
        <f t="shared" si="0"/>
        <v>46.291344565661348</v>
      </c>
      <c r="M23" s="3">
        <f t="shared" si="0"/>
        <v>-72.862802245537637</v>
      </c>
      <c r="N23" s="3">
        <f t="shared" si="0"/>
        <v>-73.025505569012239</v>
      </c>
      <c r="O23" s="19"/>
    </row>
    <row r="24" spans="1:18" x14ac:dyDescent="0.2">
      <c r="A24" s="3"/>
      <c r="B24" s="3" t="s">
        <v>35</v>
      </c>
      <c r="C24" s="3">
        <f>POWER(COS(MOD(CHOOSE(1,$H$10,$H$11,$H$12,$H$13,$H$14)/PI(),2)*PI()),2)</f>
        <v>0.55444536417282952</v>
      </c>
      <c r="D24" s="3">
        <f>POWER(COS(MOD(CHOOSE(2,$H$10,$H$11,$H$12,$H$13,$H$14)/PI(),2)*PI()),2)</f>
        <v>0.95572585343511163</v>
      </c>
      <c r="E24" s="3">
        <f>POWER(COS(MOD(CHOOSE(3,$H$10,$H$11,$H$12,$H$13,$H$14)/PI(),2)*PI()),2)</f>
        <v>0.40680854872297689</v>
      </c>
      <c r="F24" s="3">
        <f>POWER(COS(MOD(CHOOSE(4,$H$10,$H$11,$H$12,$H$13,$H$14)/PI(),2)*PI()),2)</f>
        <v>0.40936522281670673</v>
      </c>
      <c r="G24" s="3">
        <f>POWER(COS(MOD(CHOOSE(5,$H$10,$H$11,$H$12,$H$13,$H$14)/PI(),2)*PI()),2)</f>
        <v>0.96274050263569022</v>
      </c>
      <c r="I24" s="3" t="s">
        <v>35</v>
      </c>
      <c r="J24" s="3">
        <f t="shared" si="0"/>
        <v>41.874312560939018</v>
      </c>
      <c r="K24" s="3">
        <f t="shared" si="0"/>
        <v>-12.146628052304997</v>
      </c>
      <c r="L24" s="3">
        <f t="shared" si="0"/>
        <v>50.37088465683405</v>
      </c>
      <c r="M24" s="3">
        <f t="shared" si="0"/>
        <v>50.221858243839108</v>
      </c>
      <c r="N24" s="3">
        <f t="shared" si="0"/>
        <v>-11.129500706551028</v>
      </c>
      <c r="O24" s="19"/>
      <c r="Q24" t="s">
        <v>4</v>
      </c>
      <c r="R24" t="s">
        <v>4</v>
      </c>
    </row>
    <row r="25" spans="1:18" x14ac:dyDescent="0.2">
      <c r="A25" s="3"/>
      <c r="B25" s="3" t="s">
        <v>34</v>
      </c>
      <c r="C25" s="3">
        <f>POWER(COS(MOD(CHOOSE(1,$I$10,$I$11,$I$12,$I$13,$I$14)/PI(),2)*PI()),2)</f>
        <v>0.95477616983734281</v>
      </c>
      <c r="D25" s="3">
        <f>POWER(COS(MOD(CHOOSE(2,$I$10,$I$11,$I$12,$I$13,$I$14)/PI(),2)*PI()),2)</f>
        <v>0.36498012426000981</v>
      </c>
      <c r="E25" s="3">
        <f>POWER(COS(MOD(CHOOSE(3,$I$10,$I$11,$I$12,$I$13,$I$14)/PI(),2)*PI()),2)</f>
        <v>0.33803427735030761</v>
      </c>
      <c r="F25" s="3">
        <f>POWER(COS(MOD(CHOOSE(4,$I$10,$I$11,$I$12,$I$13,$I$14)/PI(),2)*PI()),2)</f>
        <v>0.98641429324960295</v>
      </c>
      <c r="G25" s="3">
        <f>POWER(COS(MOD(CHOOSE(5,$I$10,$I$11,$I$12,$I$13,$I$14)/PI(),2)*PI()),2)</f>
        <v>0.40003378021464131</v>
      </c>
      <c r="I25" s="3" t="s">
        <v>34</v>
      </c>
      <c r="J25" s="3">
        <f t="shared" si="0"/>
        <v>-12.278219342608168</v>
      </c>
      <c r="K25" s="3">
        <f t="shared" si="0"/>
        <v>52.833316154460761</v>
      </c>
      <c r="L25" s="3">
        <f t="shared" si="0"/>
        <v>54.450424748006085</v>
      </c>
      <c r="M25" s="3">
        <f t="shared" si="0"/>
        <v>-6.693481266785426</v>
      </c>
      <c r="N25" s="3">
        <f t="shared" si="0"/>
        <v>50.766504155910184</v>
      </c>
    </row>
    <row r="26" spans="1:18" x14ac:dyDescent="0.2">
      <c r="A26">
        <v>0.86</v>
      </c>
      <c r="B26" s="17" t="s">
        <v>43</v>
      </c>
      <c r="C26">
        <f>SQRT(C23)*$A$26</f>
        <v>9.0295192121800635E-2</v>
      </c>
      <c r="D26">
        <f t="shared" ref="D26:G28" si="1">SQRT(D23)*$A$26</f>
        <v>0.1916063003774926</v>
      </c>
      <c r="E26">
        <f t="shared" si="1"/>
        <v>0.59425279218799398</v>
      </c>
      <c r="F26">
        <f t="shared" si="1"/>
        <v>0.25340827622351542</v>
      </c>
      <c r="G26">
        <f t="shared" si="1"/>
        <v>0.25107353490354328</v>
      </c>
    </row>
    <row r="27" spans="1:18" x14ac:dyDescent="0.2">
      <c r="B27" s="16" t="s">
        <v>44</v>
      </c>
      <c r="C27">
        <f>SQRT(C24)*$A$26</f>
        <v>0.64036535769998104</v>
      </c>
      <c r="D27">
        <f t="shared" si="1"/>
        <v>0.84074659749570713</v>
      </c>
      <c r="E27">
        <f t="shared" si="1"/>
        <v>0.54852128731300276</v>
      </c>
      <c r="F27">
        <f t="shared" si="1"/>
        <v>0.55024223646975368</v>
      </c>
      <c r="G27">
        <f t="shared" si="1"/>
        <v>0.84382633032476329</v>
      </c>
      <c r="M27" t="s">
        <v>4</v>
      </c>
      <c r="N27" t="s">
        <v>4</v>
      </c>
      <c r="O27" s="8" t="s">
        <v>4</v>
      </c>
      <c r="P27" s="2"/>
      <c r="Q27" s="7"/>
    </row>
    <row r="28" spans="1:18" x14ac:dyDescent="0.2">
      <c r="B28" s="16" t="s">
        <v>45</v>
      </c>
      <c r="C28">
        <f>SQRT(C25)*$A$26</f>
        <v>0.84032877804565198</v>
      </c>
      <c r="D28">
        <f t="shared" si="1"/>
        <v>0.5195568302916469</v>
      </c>
      <c r="E28">
        <f t="shared" si="1"/>
        <v>0.50001015142523608</v>
      </c>
      <c r="F28">
        <f t="shared" si="1"/>
        <v>0.8541381687334938</v>
      </c>
      <c r="G28">
        <f t="shared" si="1"/>
        <v>0.54393472388398656</v>
      </c>
      <c r="O28" s="2"/>
      <c r="P28" s="9" t="s">
        <v>4</v>
      </c>
    </row>
    <row r="33" spans="2:22" x14ac:dyDescent="0.2">
      <c r="H33" t="s">
        <v>50</v>
      </c>
      <c r="I33" t="s">
        <v>51</v>
      </c>
      <c r="J33" t="s">
        <v>52</v>
      </c>
    </row>
    <row r="34" spans="2:22" x14ac:dyDescent="0.2">
      <c r="B34" s="15"/>
      <c r="C34" s="15"/>
      <c r="D34" s="15"/>
      <c r="E34" s="15"/>
      <c r="H34">
        <v>1</v>
      </c>
      <c r="I34">
        <v>16</v>
      </c>
      <c r="J34">
        <v>1.0004</v>
      </c>
    </row>
    <row r="35" spans="2:22" x14ac:dyDescent="0.2">
      <c r="B35" s="12"/>
      <c r="C35" s="13"/>
      <c r="D35" s="12"/>
      <c r="E35" s="15"/>
      <c r="H35">
        <v>2</v>
      </c>
      <c r="I35">
        <v>16</v>
      </c>
      <c r="J35">
        <v>2.0007999999999999</v>
      </c>
    </row>
    <row r="36" spans="2:22" x14ac:dyDescent="0.2">
      <c r="B36" s="15"/>
      <c r="C36" s="12"/>
      <c r="D36" s="13"/>
      <c r="E36" s="15"/>
      <c r="H36">
        <v>3</v>
      </c>
      <c r="I36">
        <v>32</v>
      </c>
      <c r="J36">
        <v>1.0004</v>
      </c>
    </row>
    <row r="37" spans="2:22" x14ac:dyDescent="0.2">
      <c r="B37" s="15"/>
      <c r="C37" s="15"/>
      <c r="D37" s="15"/>
      <c r="E37" s="15"/>
      <c r="F37">
        <f>2*PI()/32/2/SIN(PI()/64)</f>
        <v>2.0008034163099304</v>
      </c>
      <c r="H37">
        <v>4</v>
      </c>
      <c r="I37">
        <v>32</v>
      </c>
      <c r="J37">
        <v>2.0007999999999999</v>
      </c>
    </row>
    <row r="38" spans="2:22" x14ac:dyDescent="0.2">
      <c r="B38" s="15"/>
      <c r="C38" s="15"/>
      <c r="D38" s="15"/>
      <c r="E38" s="15"/>
      <c r="H38">
        <v>5</v>
      </c>
      <c r="I38">
        <v>32</v>
      </c>
      <c r="J38">
        <v>2.0007999999999999</v>
      </c>
    </row>
    <row r="39" spans="2:22" x14ac:dyDescent="0.2">
      <c r="B39" s="15"/>
      <c r="C39" s="13"/>
      <c r="D39" s="15"/>
      <c r="E39" s="15"/>
      <c r="H39">
        <v>6</v>
      </c>
      <c r="I39">
        <v>32</v>
      </c>
      <c r="J39">
        <v>2.0007999999999999</v>
      </c>
    </row>
    <row r="40" spans="2:22" x14ac:dyDescent="0.2">
      <c r="B40" s="15"/>
      <c r="C40" s="14"/>
      <c r="D40" s="15"/>
      <c r="E40" s="15"/>
      <c r="H40">
        <v>7</v>
      </c>
      <c r="I40">
        <v>32</v>
      </c>
      <c r="J40">
        <v>3.0012050000000001</v>
      </c>
    </row>
    <row r="41" spans="2:22" x14ac:dyDescent="0.2">
      <c r="B41" s="15"/>
      <c r="C41" s="14"/>
      <c r="D41" s="15"/>
      <c r="E41" s="15"/>
      <c r="H41">
        <v>8</v>
      </c>
      <c r="I41">
        <v>32</v>
      </c>
      <c r="J41">
        <v>3.0012050000000001</v>
      </c>
      <c r="V41" t="s">
        <v>4</v>
      </c>
    </row>
    <row r="42" spans="2:22" x14ac:dyDescent="0.2">
      <c r="B42" s="15"/>
      <c r="C42" s="14"/>
      <c r="D42" s="15"/>
      <c r="E42" s="15"/>
      <c r="H42">
        <v>9</v>
      </c>
      <c r="I42">
        <v>32</v>
      </c>
      <c r="J42">
        <v>3.0012050000000001</v>
      </c>
    </row>
    <row r="43" spans="2:22" x14ac:dyDescent="0.2">
      <c r="B43" s="15"/>
      <c r="C43" s="13"/>
      <c r="D43" s="15"/>
      <c r="E43" s="15"/>
      <c r="H43">
        <v>10</v>
      </c>
      <c r="I43">
        <v>32</v>
      </c>
      <c r="J43">
        <v>4.0015999999999998</v>
      </c>
    </row>
    <row r="48" spans="2:22" x14ac:dyDescent="0.2">
      <c r="P48" t="s">
        <v>4</v>
      </c>
      <c r="Q48" t="s">
        <v>4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D873448AA632418001692E8F703F9D" ma:contentTypeVersion="9" ma:contentTypeDescription="Create a new document." ma:contentTypeScope="" ma:versionID="05eca3de103399c3d8f8d4d0e4d4f514">
  <xsd:schema xmlns:xsd="http://www.w3.org/2001/XMLSchema" xmlns:xs="http://www.w3.org/2001/XMLSchema" xmlns:p="http://schemas.microsoft.com/office/2006/metadata/properties" xmlns:ns2="90219794-0978-4216-a986-a032039fa8ff" xmlns:ns3="92aaf06d-07fc-4973-b0b2-dc85ac3b9a04" targetNamespace="http://schemas.microsoft.com/office/2006/metadata/properties" ma:root="true" ma:fieldsID="3300bf67da37ea34c946bafc879fd2d9" ns2:_="" ns3:_="">
    <xsd:import namespace="90219794-0978-4216-a986-a032039fa8ff"/>
    <xsd:import namespace="92aaf06d-07fc-4973-b0b2-dc85ac3b9a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19794-0978-4216-a986-a032039fa8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aaf06d-07fc-4973-b0b2-dc85ac3b9a0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A6DC3C-5CC6-4BE6-B15A-469546EE2FC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1BE437-EE68-4E8F-9465-09FF6AD123A2}"/>
</file>

<file path=customXml/itemProps3.xml><?xml version="1.0" encoding="utf-8"?>
<ds:datastoreItem xmlns:ds="http://schemas.openxmlformats.org/officeDocument/2006/customXml" ds:itemID="{3ADF2C95-DCD8-4CD7-9D40-119F661B4F8A}">
  <ds:schemaRefs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dcff909e-542d-4672-8557-4ef8d9009dce"/>
    <ds:schemaRef ds:uri="http://schemas.microsoft.com/office/2006/metadata/properties"/>
    <ds:schemaRef ds:uri="http://schemas.openxmlformats.org/package/2006/metadata/core-properties"/>
    <ds:schemaRef ds:uri="426b74de-0581-4e94-90c0-1abf6215444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1030 1030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2021-03-17T18:10:28Z</dcterms:created>
  <dcterms:modified xsi:type="dcterms:W3CDTF">2022-02-22T16:23:46Z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0x01010004D873448AA632418001692E8F703F9D</vt:lpwstr>
  </property>
</Properties>
</file>